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lcevaav\Documents\"/>
    </mc:Choice>
  </mc:AlternateContent>
  <bookViews>
    <workbookView xWindow="0" yWindow="0" windowWidth="28800" windowHeight="12435"/>
  </bookViews>
  <sheets>
    <sheet name="Мониторинг" sheetId="1" r:id="rId1"/>
    <sheet name="Недостача" sheetId="5" state="hidden" r:id="rId2"/>
    <sheet name="04.06.2019 (2)" sheetId="2" state="hidden" r:id="rId3"/>
    <sheet name="04.06.2019 (3)" sheetId="4" state="hidden" r:id="rId4"/>
  </sheets>
  <definedNames>
    <definedName name="_xlnm._FilterDatabase" localSheetId="2" hidden="1">'04.06.2019 (2)'!$D$1:$D$421</definedName>
    <definedName name="_xlnm._FilterDatabase" localSheetId="3" hidden="1">'04.06.2019 (3)'!$D$1:$D$421</definedName>
    <definedName name="_xlnm._FilterDatabase" localSheetId="0" hidden="1">Мониторинг!$A$11:$CT$404</definedName>
    <definedName name="Z_0C5FE2F8_605D_4B42_B72D_DD5F18808F41_.wvu.FilterData" localSheetId="2" hidden="1">'04.06.2019 (2)'!$D$1:$D$402</definedName>
    <definedName name="Z_0C5FE2F8_605D_4B42_B72D_DD5F18808F41_.wvu.FilterData" localSheetId="3" hidden="1">'04.06.2019 (3)'!$D$1:$D$402</definedName>
    <definedName name="Z_0C5FE2F8_605D_4B42_B72D_DD5F18808F41_.wvu.FilterData" localSheetId="0" hidden="1">Мониторинг!$D$4:$D$407</definedName>
    <definedName name="Z_0CBA079B_E446_495F_A6E4_7AA2EDBB8406_.wvu.FilterData" localSheetId="2" hidden="1">'04.06.2019 (2)'!$D$1:$D$421</definedName>
    <definedName name="Z_0CBA079B_E446_495F_A6E4_7AA2EDBB8406_.wvu.FilterData" localSheetId="3" hidden="1">'04.06.2019 (3)'!$D$1:$D$421</definedName>
    <definedName name="Z_0CBA079B_E446_495F_A6E4_7AA2EDBB8406_.wvu.FilterData" localSheetId="0" hidden="1">Мониторинг!$D$4:$D$443</definedName>
    <definedName name="Z_0FE9BCAC_676E_4760_B68D_4C1019B39590_.wvu.FilterData" localSheetId="2" hidden="1">'04.06.2019 (2)'!$D$1:$D$421</definedName>
    <definedName name="Z_0FE9BCAC_676E_4760_B68D_4C1019B39590_.wvu.FilterData" localSheetId="3" hidden="1">'04.06.2019 (3)'!$D$1:$D$421</definedName>
    <definedName name="Z_0FE9BCAC_676E_4760_B68D_4C1019B39590_.wvu.FilterData" localSheetId="0" hidden="1">Мониторинг!$D$4:$D$443</definedName>
    <definedName name="Z_1178F3C9_C06A_4732_A61E_3AEE5ABA05F6_.wvu.FilterData" localSheetId="2" hidden="1">'04.06.2019 (2)'!$D$1:$D$421</definedName>
    <definedName name="Z_1178F3C9_C06A_4732_A61E_3AEE5ABA05F6_.wvu.FilterData" localSheetId="3" hidden="1">'04.06.2019 (3)'!$D$1:$D$421</definedName>
    <definedName name="Z_1178F3C9_C06A_4732_A61E_3AEE5ABA05F6_.wvu.FilterData" localSheetId="0" hidden="1">Мониторинг!$D$4:$D$443</definedName>
    <definedName name="Z_15161711_5417_4507_BA43_FFE6948A4297_.wvu.FilterData" localSheetId="2" hidden="1">'04.06.2019 (2)'!$D$1:$D$421</definedName>
    <definedName name="Z_15161711_5417_4507_BA43_FFE6948A4297_.wvu.FilterData" localSheetId="3" hidden="1">'04.06.2019 (3)'!$D$1:$D$421</definedName>
    <definedName name="Z_15161711_5417_4507_BA43_FFE6948A4297_.wvu.FilterData" localSheetId="0" hidden="1">Мониторинг!$D$4:$D$443</definedName>
    <definedName name="Z_1E12DE21_EC6C_4990_A33F_AAA38AF68889_.wvu.FilterData" localSheetId="2" hidden="1">'04.06.2019 (2)'!$D$1:$D$421</definedName>
    <definedName name="Z_1E12DE21_EC6C_4990_A33F_AAA38AF68889_.wvu.FilterData" localSheetId="3" hidden="1">'04.06.2019 (3)'!$D$1:$D$421</definedName>
    <definedName name="Z_1E12DE21_EC6C_4990_A33F_AAA38AF68889_.wvu.FilterData" localSheetId="0" hidden="1">Мониторинг!$D$4:$D$443</definedName>
    <definedName name="Z_21A56C25_5666_4B19_891E_A8D43A1CF99B_.wvu.FilterData" localSheetId="2" hidden="1">'04.06.2019 (2)'!$D$1:$D$421</definedName>
    <definedName name="Z_21A56C25_5666_4B19_891E_A8D43A1CF99B_.wvu.FilterData" localSheetId="3" hidden="1">'04.06.2019 (3)'!$D$1:$D$421</definedName>
    <definedName name="Z_21A56C25_5666_4B19_891E_A8D43A1CF99B_.wvu.FilterData" localSheetId="0" hidden="1">Мониторинг!$D$4:$D$443</definedName>
    <definedName name="Z_23742709_AC5B_4296_8897_41FAFAF4E96A_.wvu.FilterData" localSheetId="2" hidden="1">'04.06.2019 (2)'!$D$1:$D$402</definedName>
    <definedName name="Z_23742709_AC5B_4296_8897_41FAFAF4E96A_.wvu.FilterData" localSheetId="3" hidden="1">'04.06.2019 (3)'!$D$1:$D$402</definedName>
    <definedName name="Z_23742709_AC5B_4296_8897_41FAFAF4E96A_.wvu.FilterData" localSheetId="0" hidden="1">Мониторинг!$D$4:$D$407</definedName>
    <definedName name="Z_2688B2CB_2C29_483B_A708_D0C3E953C874_.wvu.FilterData" localSheetId="2" hidden="1">'04.06.2019 (2)'!$D$1:$D$421</definedName>
    <definedName name="Z_2688B2CB_2C29_483B_A708_D0C3E953C874_.wvu.FilterData" localSheetId="3" hidden="1">'04.06.2019 (3)'!$D$1:$D$421</definedName>
    <definedName name="Z_2688B2CB_2C29_483B_A708_D0C3E953C874_.wvu.FilterData" localSheetId="0" hidden="1">Мониторинг!$D$4:$D$443</definedName>
    <definedName name="Z_26DAEBAF_F515_44EC_8D9A_F6A4103BE166_.wvu.FilterData" localSheetId="2" hidden="1">'04.06.2019 (2)'!$D$1:$D$421</definedName>
    <definedName name="Z_26DAEBAF_F515_44EC_8D9A_F6A4103BE166_.wvu.FilterData" localSheetId="3" hidden="1">'04.06.2019 (3)'!$D$1:$D$421</definedName>
    <definedName name="Z_26DAEBAF_F515_44EC_8D9A_F6A4103BE166_.wvu.FilterData" localSheetId="0" hidden="1">Мониторинг!$D$4:$D$443</definedName>
    <definedName name="Z_2B0F5D2E_9989_47B3_B184_21B5B1C5A596_.wvu.FilterData" localSheetId="2" hidden="1">'04.06.2019 (2)'!$D$1:$D$421</definedName>
    <definedName name="Z_2B0F5D2E_9989_47B3_B184_21B5B1C5A596_.wvu.FilterData" localSheetId="3" hidden="1">'04.06.2019 (3)'!$D$1:$D$421</definedName>
    <definedName name="Z_2B0F5D2E_9989_47B3_B184_21B5B1C5A596_.wvu.FilterData" localSheetId="0" hidden="1">Мониторинг!$D$4:$D$443</definedName>
    <definedName name="Z_2B4DDA24_06F0_44BF_9358_DFA02F7860B3_.wvu.FilterData" localSheetId="2" hidden="1">'04.06.2019 (2)'!$D$1:$D$402</definedName>
    <definedName name="Z_2B4DDA24_06F0_44BF_9358_DFA02F7860B3_.wvu.FilterData" localSheetId="3" hidden="1">'04.06.2019 (3)'!$D$1:$D$402</definedName>
    <definedName name="Z_2B4DDA24_06F0_44BF_9358_DFA02F7860B3_.wvu.FilterData" localSheetId="0" hidden="1">Мониторинг!$D$4:$D$407</definedName>
    <definedName name="Z_2C22929D_D548_4303_8C04_3FA755D86EFC_.wvu.FilterData" localSheetId="2" hidden="1">'04.06.2019 (2)'!$D$1:$D$421</definedName>
    <definedName name="Z_2C22929D_D548_4303_8C04_3FA755D86EFC_.wvu.FilterData" localSheetId="3" hidden="1">'04.06.2019 (3)'!$D$1:$D$421</definedName>
    <definedName name="Z_2C22929D_D548_4303_8C04_3FA755D86EFC_.wvu.FilterData" localSheetId="0" hidden="1">Мониторинг!$D$4:$D$443</definedName>
    <definedName name="Z_2D64A2D1_24AD_4B84_A731_87BB529CDD61_.wvu.FilterData" localSheetId="2" hidden="1">'04.06.2019 (2)'!$D$1:$D$421</definedName>
    <definedName name="Z_2D64A2D1_24AD_4B84_A731_87BB529CDD61_.wvu.FilterData" localSheetId="3" hidden="1">'04.06.2019 (3)'!$D$1:$D$421</definedName>
    <definedName name="Z_2D64A2D1_24AD_4B84_A731_87BB529CDD61_.wvu.FilterData" localSheetId="0" hidden="1">Мониторинг!$D$4:$D$443</definedName>
    <definedName name="Z_32AD8C6B_69F1_406A_8380_7C9BCC8DA5E6_.wvu.FilterData" localSheetId="2" hidden="1">'04.06.2019 (2)'!$D$1:$D$421</definedName>
    <definedName name="Z_32AD8C6B_69F1_406A_8380_7C9BCC8DA5E6_.wvu.FilterData" localSheetId="3" hidden="1">'04.06.2019 (3)'!$D$1:$D$421</definedName>
    <definedName name="Z_32AD8C6B_69F1_406A_8380_7C9BCC8DA5E6_.wvu.FilterData" localSheetId="0" hidden="1">Мониторинг!$D$4:$D$443</definedName>
    <definedName name="Z_344D6906_A9D4_4857_9128_0D16F1666702_.wvu.FilterData" localSheetId="2" hidden="1">'04.06.2019 (2)'!$D$1:$D$402</definedName>
    <definedName name="Z_344D6906_A9D4_4857_9128_0D16F1666702_.wvu.FilterData" localSheetId="3" hidden="1">'04.06.2019 (3)'!$D$1:$D$402</definedName>
    <definedName name="Z_344D6906_A9D4_4857_9128_0D16F1666702_.wvu.FilterData" localSheetId="0" hidden="1">Мониторинг!$D$4:$D$407</definedName>
    <definedName name="Z_3572C185_6CEA_411C_AD1F_D91ABBED6280_.wvu.FilterData" localSheetId="2" hidden="1">'04.06.2019 (2)'!$D$1:$D$402</definedName>
    <definedName name="Z_3572C185_6CEA_411C_AD1F_D91ABBED6280_.wvu.FilterData" localSheetId="3" hidden="1">'04.06.2019 (3)'!$D$1:$D$402</definedName>
    <definedName name="Z_3572C185_6CEA_411C_AD1F_D91ABBED6280_.wvu.FilterData" localSheetId="0" hidden="1">Мониторинг!$D$4:$D$407</definedName>
    <definedName name="Z_397AB007_E657_4D30_874F_08121F9E08ED_.wvu.FilterData" localSheetId="2" hidden="1">'04.06.2019 (2)'!$D$1:$D$421</definedName>
    <definedName name="Z_397AB007_E657_4D30_874F_08121F9E08ED_.wvu.FilterData" localSheetId="3" hidden="1">'04.06.2019 (3)'!$D$1:$D$421</definedName>
    <definedName name="Z_397AB007_E657_4D30_874F_08121F9E08ED_.wvu.FilterData" localSheetId="0" hidden="1">Мониторинг!$D$4:$D$443</definedName>
    <definedName name="Z_4233314C_2CC8_4FCD_A78A_E2CBD3CA5AB4_.wvu.FilterData" localSheetId="2" hidden="1">'04.06.2019 (2)'!$D$1:$D$421</definedName>
    <definedName name="Z_4233314C_2CC8_4FCD_A78A_E2CBD3CA5AB4_.wvu.FilterData" localSheetId="3" hidden="1">'04.06.2019 (3)'!$D$1:$D$421</definedName>
    <definedName name="Z_4233314C_2CC8_4FCD_A78A_E2CBD3CA5AB4_.wvu.FilterData" localSheetId="0" hidden="1">Мониторинг!$D$4:$D$443</definedName>
    <definedName name="Z_484B6B67_140D_4559_BD22_E207A49D9886_.wvu.FilterData" localSheetId="2" hidden="1">'04.06.2019 (2)'!$D$1:$D$402</definedName>
    <definedName name="Z_484B6B67_140D_4559_BD22_E207A49D9886_.wvu.FilterData" localSheetId="3" hidden="1">'04.06.2019 (3)'!$D$1:$D$402</definedName>
    <definedName name="Z_484B6B67_140D_4559_BD22_E207A49D9886_.wvu.FilterData" localSheetId="0" hidden="1">Мониторинг!$D$4:$D$407</definedName>
    <definedName name="Z_4F7CE11D_A44C_416C_9C10_D8BAF4B18AEC_.wvu.FilterData" localSheetId="2" hidden="1">'04.06.2019 (2)'!$D$1:$D$421</definedName>
    <definedName name="Z_4F7CE11D_A44C_416C_9C10_D8BAF4B18AEC_.wvu.FilterData" localSheetId="3" hidden="1">'04.06.2019 (3)'!$D$1:$D$421</definedName>
    <definedName name="Z_4F7CE11D_A44C_416C_9C10_D8BAF4B18AEC_.wvu.FilterData" localSheetId="0" hidden="1">Мониторинг!$D$4:$D$443</definedName>
    <definedName name="Z_517B9796_267A_494A_801A_961C1707A827_.wvu.FilterData" localSheetId="2" hidden="1">'04.06.2019 (2)'!$D$1:$D$421</definedName>
    <definedName name="Z_517B9796_267A_494A_801A_961C1707A827_.wvu.FilterData" localSheetId="3" hidden="1">'04.06.2019 (3)'!$D$1:$D$421</definedName>
    <definedName name="Z_517B9796_267A_494A_801A_961C1707A827_.wvu.FilterData" localSheetId="0" hidden="1">Мониторинг!$D$4:$D$443</definedName>
    <definedName name="Z_518A70E3_72E5_40CD_BE53_ACE6791EBD82_.wvu.FilterData" localSheetId="2" hidden="1">'04.06.2019 (2)'!$D$1:$D$421</definedName>
    <definedName name="Z_518A70E3_72E5_40CD_BE53_ACE6791EBD82_.wvu.FilterData" localSheetId="3" hidden="1">'04.06.2019 (3)'!$D$1:$D$421</definedName>
    <definedName name="Z_518A70E3_72E5_40CD_BE53_ACE6791EBD82_.wvu.FilterData" localSheetId="0" hidden="1">Мониторинг!$D$4:$D$443</definedName>
    <definedName name="Z_54174458_CE6F_46B3_81FF_85C43D9CF583_.wvu.FilterData" localSheetId="2" hidden="1">'04.06.2019 (2)'!$D$1:$D$421</definedName>
    <definedName name="Z_54174458_CE6F_46B3_81FF_85C43D9CF583_.wvu.FilterData" localSheetId="3" hidden="1">'04.06.2019 (3)'!$D$1:$D$421</definedName>
    <definedName name="Z_54174458_CE6F_46B3_81FF_85C43D9CF583_.wvu.FilterData" localSheetId="0" hidden="1">Мониторинг!$D$4:$D$443</definedName>
    <definedName name="Z_54174458_CE6F_46B3_81FF_85C43D9CF583_.wvu.PrintArea" localSheetId="2" hidden="1">'04.06.2019 (2)'!$A$1:$Y$402</definedName>
    <definedName name="Z_54174458_CE6F_46B3_81FF_85C43D9CF583_.wvu.PrintArea" localSheetId="3" hidden="1">'04.06.2019 (3)'!$A$1:$Y$402</definedName>
    <definedName name="Z_54174458_CE6F_46B3_81FF_85C43D9CF583_.wvu.PrintArea" localSheetId="0" hidden="1">Мониторинг!$A$4:$CS$404</definedName>
    <definedName name="Z_54174458_CE6F_46B3_81FF_85C43D9CF583_.wvu.PrintTitles" localSheetId="2" hidden="1">'04.06.2019 (2)'!$2:$7</definedName>
    <definedName name="Z_54174458_CE6F_46B3_81FF_85C43D9CF583_.wvu.PrintTitles" localSheetId="3" hidden="1">'04.06.2019 (3)'!$2:$7</definedName>
    <definedName name="Z_54174458_CE6F_46B3_81FF_85C43D9CF583_.wvu.PrintTitles" localSheetId="0" hidden="1">Мониторинг!$6:$11</definedName>
    <definedName name="Z_54ED52AB_2199_4F74_8365_5ED1364D7A31_.wvu.FilterData" localSheetId="2" hidden="1">'04.06.2019 (2)'!$D$1:$D$421</definedName>
    <definedName name="Z_54ED52AB_2199_4F74_8365_5ED1364D7A31_.wvu.FilterData" localSheetId="3" hidden="1">'04.06.2019 (3)'!$D$1:$D$421</definedName>
    <definedName name="Z_54ED52AB_2199_4F74_8365_5ED1364D7A31_.wvu.FilterData" localSheetId="0" hidden="1">Мониторинг!$D$4:$D$443</definedName>
    <definedName name="Z_57D8C7C0_B1F3_4A03_AA19_49452A9F5918_.wvu.FilterData" localSheetId="2" hidden="1">'04.06.2019 (2)'!$D$1:$D$402</definedName>
    <definedName name="Z_57D8C7C0_B1F3_4A03_AA19_49452A9F5918_.wvu.FilterData" localSheetId="3" hidden="1">'04.06.2019 (3)'!$D$1:$D$402</definedName>
    <definedName name="Z_57D8C7C0_B1F3_4A03_AA19_49452A9F5918_.wvu.FilterData" localSheetId="0" hidden="1">Мониторинг!$D$4:$D$407</definedName>
    <definedName name="Z_59A6062B_2B57_42B4_B7F4_C8626DD7F4C5_.wvu.FilterData" localSheetId="2" hidden="1">'04.06.2019 (2)'!$D$1:$D$402</definedName>
    <definedName name="Z_59A6062B_2B57_42B4_B7F4_C8626DD7F4C5_.wvu.FilterData" localSheetId="3" hidden="1">'04.06.2019 (3)'!$D$1:$D$402</definedName>
    <definedName name="Z_59A6062B_2B57_42B4_B7F4_C8626DD7F4C5_.wvu.FilterData" localSheetId="0" hidden="1">Мониторинг!$D$4:$D$407</definedName>
    <definedName name="Z_5A70267D_D65E_4E8F_9FF9_6459C427A226_.wvu.FilterData" localSheetId="2" hidden="1">'04.06.2019 (2)'!$D$1:$D$402</definedName>
    <definedName name="Z_5A70267D_D65E_4E8F_9FF9_6459C427A226_.wvu.FilterData" localSheetId="3" hidden="1">'04.06.2019 (3)'!$D$1:$D$402</definedName>
    <definedName name="Z_5A70267D_D65E_4E8F_9FF9_6459C427A226_.wvu.FilterData" localSheetId="0" hidden="1">Мониторинг!$D$4:$D$407</definedName>
    <definedName name="Z_662D6C8A_E8C5_4280_92FE_55F90EBE1789_.wvu.FilterData" localSheetId="2" hidden="1">'04.06.2019 (2)'!$D$1:$D$421</definedName>
    <definedName name="Z_662D6C8A_E8C5_4280_92FE_55F90EBE1789_.wvu.FilterData" localSheetId="3" hidden="1">'04.06.2019 (3)'!$D$1:$D$421</definedName>
    <definedName name="Z_662D6C8A_E8C5_4280_92FE_55F90EBE1789_.wvu.FilterData" localSheetId="0" hidden="1">Мониторинг!$D$4:$D$443</definedName>
    <definedName name="Z_669F9162_4676_4D5F_81A5_503C2D3CC18F_.wvu.FilterData" localSheetId="2" hidden="1">'04.06.2019 (2)'!$D$1:$D$421</definedName>
    <definedName name="Z_669F9162_4676_4D5F_81A5_503C2D3CC18F_.wvu.FilterData" localSheetId="3" hidden="1">'04.06.2019 (3)'!$D$1:$D$421</definedName>
    <definedName name="Z_669F9162_4676_4D5F_81A5_503C2D3CC18F_.wvu.FilterData" localSheetId="0" hidden="1">Мониторинг!$D$4:$D$443</definedName>
    <definedName name="Z_749980A6_D990_40A5_AC5F_C8979ABE4459_.wvu.FilterData" localSheetId="2" hidden="1">'04.06.2019 (2)'!$D$1:$D$421</definedName>
    <definedName name="Z_749980A6_D990_40A5_AC5F_C8979ABE4459_.wvu.FilterData" localSheetId="3" hidden="1">'04.06.2019 (3)'!$D$1:$D$421</definedName>
    <definedName name="Z_749980A6_D990_40A5_AC5F_C8979ABE4459_.wvu.FilterData" localSheetId="0" hidden="1">Мониторинг!$D$4:$D$443</definedName>
    <definedName name="Z_7A718F95_2F33_4EE8_B7C8_88DBC5943956_.wvu.FilterData" localSheetId="2" hidden="1">'04.06.2019 (2)'!$D$1:$D$421</definedName>
    <definedName name="Z_7A718F95_2F33_4EE8_B7C8_88DBC5943956_.wvu.FilterData" localSheetId="3" hidden="1">'04.06.2019 (3)'!$D$1:$D$421</definedName>
    <definedName name="Z_7A718F95_2F33_4EE8_B7C8_88DBC5943956_.wvu.FilterData" localSheetId="0" hidden="1">Мониторинг!$D$4:$D$443</definedName>
    <definedName name="Z_7B3D8F82_875B_46A0_B823_E246B5664A4A_.wvu.FilterData" localSheetId="2" hidden="1">'04.06.2019 (2)'!$D$1:$D$402</definedName>
    <definedName name="Z_7B3D8F82_875B_46A0_B823_E246B5664A4A_.wvu.FilterData" localSheetId="3" hidden="1">'04.06.2019 (3)'!$D$1:$D$402</definedName>
    <definedName name="Z_7B3D8F82_875B_46A0_B823_E246B5664A4A_.wvu.FilterData" localSheetId="0" hidden="1">Мониторинг!$D$4:$D$407</definedName>
    <definedName name="Z_7C4141CA_3FB4_4C49_A4D6_07ED384073A9_.wvu.FilterData" localSheetId="2" hidden="1">'04.06.2019 (2)'!$D$1:$D$421</definedName>
    <definedName name="Z_7C4141CA_3FB4_4C49_A4D6_07ED384073A9_.wvu.FilterData" localSheetId="3" hidden="1">'04.06.2019 (3)'!$D$1:$D$421</definedName>
    <definedName name="Z_7C4141CA_3FB4_4C49_A4D6_07ED384073A9_.wvu.FilterData" localSheetId="0" hidden="1">Мониторинг!$D$4:$D$443</definedName>
    <definedName name="Z_7CB84A99_B60B_4692_871F_5B279F60114D_.wvu.FilterData" localSheetId="2" hidden="1">'04.06.2019 (2)'!$D$1:$D$421</definedName>
    <definedName name="Z_7CB84A99_B60B_4692_871F_5B279F60114D_.wvu.FilterData" localSheetId="3" hidden="1">'04.06.2019 (3)'!$D$1:$D$421</definedName>
    <definedName name="Z_7CB84A99_B60B_4692_871F_5B279F60114D_.wvu.FilterData" localSheetId="0" hidden="1">Мониторинг!$D$4:$D$443</definedName>
    <definedName name="Z_7CB84A99_B60B_4692_871F_5B279F60114D_.wvu.PrintArea" localSheetId="2" hidden="1">'04.06.2019 (2)'!$A$1:$Y$402</definedName>
    <definedName name="Z_7CB84A99_B60B_4692_871F_5B279F60114D_.wvu.PrintArea" localSheetId="3" hidden="1">'04.06.2019 (3)'!$A$1:$Y$402</definedName>
    <definedName name="Z_7CB84A99_B60B_4692_871F_5B279F60114D_.wvu.PrintArea" localSheetId="0" hidden="1">Мониторинг!$A$4:$CS$404</definedName>
    <definedName name="Z_7CB84A99_B60B_4692_871F_5B279F60114D_.wvu.PrintTitles" localSheetId="2" hidden="1">'04.06.2019 (2)'!$2:$7</definedName>
    <definedName name="Z_7CB84A99_B60B_4692_871F_5B279F60114D_.wvu.PrintTitles" localSheetId="3" hidden="1">'04.06.2019 (3)'!$2:$7</definedName>
    <definedName name="Z_7CB84A99_B60B_4692_871F_5B279F60114D_.wvu.PrintTitles" localSheetId="0" hidden="1">Мониторинг!$6:$11</definedName>
    <definedName name="Z_7EEF63D0_E7D1_489F_9D21_E35D9CBAEAFA_.wvu.FilterData" localSheetId="2" hidden="1">'04.06.2019 (2)'!$D$1:$D$421</definedName>
    <definedName name="Z_7EEF63D0_E7D1_489F_9D21_E35D9CBAEAFA_.wvu.FilterData" localSheetId="3" hidden="1">'04.06.2019 (3)'!$D$1:$D$421</definedName>
    <definedName name="Z_7EEF63D0_E7D1_489F_9D21_E35D9CBAEAFA_.wvu.FilterData" localSheetId="0" hidden="1">Мониторинг!$D$4:$D$443</definedName>
    <definedName name="Z_85B96966_2DA7_4E77_AAA5_F0027396196B_.wvu.FilterData" localSheetId="2" hidden="1">'04.06.2019 (2)'!$D$1:$D$421</definedName>
    <definedName name="Z_85B96966_2DA7_4E77_AAA5_F0027396196B_.wvu.FilterData" localSheetId="3" hidden="1">'04.06.2019 (3)'!$D$1:$D$421</definedName>
    <definedName name="Z_85B96966_2DA7_4E77_AAA5_F0027396196B_.wvu.FilterData" localSheetId="0" hidden="1">Мониторинг!$D$4:$D$443</definedName>
    <definedName name="Z_883F140E_038D_40EB_ADEE_01A70467145E_.wvu.FilterData" localSheetId="2" hidden="1">'04.06.2019 (2)'!$D$1:$D$421</definedName>
    <definedName name="Z_883F140E_038D_40EB_ADEE_01A70467145E_.wvu.FilterData" localSheetId="3" hidden="1">'04.06.2019 (3)'!$D$1:$D$421</definedName>
    <definedName name="Z_883F140E_038D_40EB_ADEE_01A70467145E_.wvu.FilterData" localSheetId="0" hidden="1">Мониторинг!$D$4:$D$443</definedName>
    <definedName name="Z_884E17A2_C4C2_4391_989F_088FA09EDE7F_.wvu.FilterData" localSheetId="2" hidden="1">'04.06.2019 (2)'!$D$1:$D$402</definedName>
    <definedName name="Z_884E17A2_C4C2_4391_989F_088FA09EDE7F_.wvu.FilterData" localSheetId="3" hidden="1">'04.06.2019 (3)'!$D$1:$D$402</definedName>
    <definedName name="Z_884E17A2_C4C2_4391_989F_088FA09EDE7F_.wvu.FilterData" localSheetId="0" hidden="1">Мониторинг!$D$4:$D$407</definedName>
    <definedName name="Z_889DC3DF_0DA4_4884_8CEA_E4C49F76DCEB_.wvu.FilterData" localSheetId="2" hidden="1">'04.06.2019 (2)'!$D$1:$D$421</definedName>
    <definedName name="Z_889DC3DF_0DA4_4884_8CEA_E4C49F76DCEB_.wvu.FilterData" localSheetId="3" hidden="1">'04.06.2019 (3)'!$D$1:$D$421</definedName>
    <definedName name="Z_889DC3DF_0DA4_4884_8CEA_E4C49F76DCEB_.wvu.FilterData" localSheetId="0" hidden="1">Мониторинг!$D$4:$D$443</definedName>
    <definedName name="Z_8CF47390_FED5_4940_B2B5_A2C625BE7161_.wvu.FilterData" localSheetId="2" hidden="1">'04.06.2019 (2)'!$D$1:$D$402</definedName>
    <definedName name="Z_8CF47390_FED5_4940_B2B5_A2C625BE7161_.wvu.FilterData" localSheetId="3" hidden="1">'04.06.2019 (3)'!$D$1:$D$402</definedName>
    <definedName name="Z_8CF47390_FED5_4940_B2B5_A2C625BE7161_.wvu.FilterData" localSheetId="0" hidden="1">Мониторинг!$D$4:$D$407</definedName>
    <definedName name="Z_8DF21D21_89A0_4BA8_92F2_BB4A1ACBD7E7_.wvu.FilterData" localSheetId="2" hidden="1">'04.06.2019 (2)'!$D$1:$D$402</definedName>
    <definedName name="Z_8DF21D21_89A0_4BA8_92F2_BB4A1ACBD7E7_.wvu.FilterData" localSheetId="3" hidden="1">'04.06.2019 (3)'!$D$1:$D$402</definedName>
    <definedName name="Z_8DF21D21_89A0_4BA8_92F2_BB4A1ACBD7E7_.wvu.FilterData" localSheetId="0" hidden="1">Мониторинг!$D$4:$D$407</definedName>
    <definedName name="Z_9F4FAE06_EE54_40FD_B945_700D34A122ED_.wvu.FilterData" localSheetId="2" hidden="1">'04.06.2019 (2)'!$D$1:$D$402</definedName>
    <definedName name="Z_9F4FAE06_EE54_40FD_B945_700D34A122ED_.wvu.FilterData" localSheetId="3" hidden="1">'04.06.2019 (3)'!$D$1:$D$402</definedName>
    <definedName name="Z_9F4FAE06_EE54_40FD_B945_700D34A122ED_.wvu.FilterData" localSheetId="0" hidden="1">Мониторинг!$D$4:$D$407</definedName>
    <definedName name="Z_A5B1389F_A9BD_4196_A494_F19F4C7031F2_.wvu.FilterData" localSheetId="2" hidden="1">'04.06.2019 (2)'!$D$1:$D$421</definedName>
    <definedName name="Z_A5B1389F_A9BD_4196_A494_F19F4C7031F2_.wvu.FilterData" localSheetId="3" hidden="1">'04.06.2019 (3)'!$D$1:$D$421</definedName>
    <definedName name="Z_A5B1389F_A9BD_4196_A494_F19F4C7031F2_.wvu.FilterData" localSheetId="0" hidden="1">Мониторинг!$D$4:$D$443</definedName>
    <definedName name="Z_A69201E7_9203_441D_8C13_8F2442BF8C6E_.wvu.FilterData" localSheetId="2" hidden="1">'04.06.2019 (2)'!$D$1:$D$402</definedName>
    <definedName name="Z_A69201E7_9203_441D_8C13_8F2442BF8C6E_.wvu.FilterData" localSheetId="3" hidden="1">'04.06.2019 (3)'!$D$1:$D$402</definedName>
    <definedName name="Z_A69201E7_9203_441D_8C13_8F2442BF8C6E_.wvu.FilterData" localSheetId="0" hidden="1">Мониторинг!$D$4:$D$407</definedName>
    <definedName name="Z_AB2A433A_5E45_4F0D_8194_8C0EC2B28029_.wvu.FilterData" localSheetId="2" hidden="1">'04.06.2019 (2)'!$D$1:$D$421</definedName>
    <definedName name="Z_AB2A433A_5E45_4F0D_8194_8C0EC2B28029_.wvu.FilterData" localSheetId="3" hidden="1">'04.06.2019 (3)'!$D$1:$D$421</definedName>
    <definedName name="Z_AB2A433A_5E45_4F0D_8194_8C0EC2B28029_.wvu.FilterData" localSheetId="0" hidden="1">Мониторинг!$D$4:$D$443</definedName>
    <definedName name="Z_AB899958_2A8E_49C6_BD77_B32735426A07_.wvu.FilterData" localSheetId="2" hidden="1">'04.06.2019 (2)'!$D$1:$D$421</definedName>
    <definedName name="Z_AB899958_2A8E_49C6_BD77_B32735426A07_.wvu.FilterData" localSheetId="3" hidden="1">'04.06.2019 (3)'!$D$1:$D$421</definedName>
    <definedName name="Z_AB899958_2A8E_49C6_BD77_B32735426A07_.wvu.FilterData" localSheetId="0" hidden="1">Мониторинг!$D$4:$D$443</definedName>
    <definedName name="Z_AC54CDCE_3FEC_4E82_B9C2_160FB63CE330_.wvu.FilterData" localSheetId="2" hidden="1">'04.06.2019 (2)'!$D$1:$D$402</definedName>
    <definedName name="Z_AC54CDCE_3FEC_4E82_B9C2_160FB63CE330_.wvu.FilterData" localSheetId="3" hidden="1">'04.06.2019 (3)'!$D$1:$D$402</definedName>
    <definedName name="Z_AC54CDCE_3FEC_4E82_B9C2_160FB63CE330_.wvu.FilterData" localSheetId="0" hidden="1">Мониторинг!$D$4:$D$407</definedName>
    <definedName name="Z_B2C82F5D_707D_44DB_9FE8_D72DEF9164FF_.wvu.FilterData" localSheetId="2" hidden="1">'04.06.2019 (2)'!$D$1:$D$421</definedName>
    <definedName name="Z_B2C82F5D_707D_44DB_9FE8_D72DEF9164FF_.wvu.FilterData" localSheetId="3" hidden="1">'04.06.2019 (3)'!$D$1:$D$421</definedName>
    <definedName name="Z_B2C82F5D_707D_44DB_9FE8_D72DEF9164FF_.wvu.FilterData" localSheetId="0" hidden="1">Мониторинг!$D$4:$D$443</definedName>
    <definedName name="Z_B3A49F53_5F25_4203_B08E_4E1C58A0F9EC_.wvu.FilterData" localSheetId="2" hidden="1">'04.06.2019 (2)'!$D$1:$D$402</definedName>
    <definedName name="Z_B3A49F53_5F25_4203_B08E_4E1C58A0F9EC_.wvu.FilterData" localSheetId="3" hidden="1">'04.06.2019 (3)'!$D$1:$D$402</definedName>
    <definedName name="Z_B3A49F53_5F25_4203_B08E_4E1C58A0F9EC_.wvu.FilterData" localSheetId="0" hidden="1">Мониторинг!$D$4:$D$407</definedName>
    <definedName name="Z_B3C43EC6_E78C_4E14_8E6B_E1740960B157_.wvu.FilterData" localSheetId="2" hidden="1">'04.06.2019 (2)'!$D$1:$D$421</definedName>
    <definedName name="Z_B3C43EC6_E78C_4E14_8E6B_E1740960B157_.wvu.FilterData" localSheetId="3" hidden="1">'04.06.2019 (3)'!$D$1:$D$421</definedName>
    <definedName name="Z_B3C43EC6_E78C_4E14_8E6B_E1740960B157_.wvu.FilterData" localSheetId="0" hidden="1">Мониторинг!$D$4:$D$443</definedName>
    <definedName name="Z_B56D88EF_EB89_4724_A2C4_2C7CA93C047F_.wvu.FilterData" localSheetId="2" hidden="1">'04.06.2019 (2)'!$F$1:$F$421</definedName>
    <definedName name="Z_B56D88EF_EB89_4724_A2C4_2C7CA93C047F_.wvu.FilterData" localSheetId="3" hidden="1">'04.06.2019 (3)'!$F$1:$F$421</definedName>
    <definedName name="Z_B56D88EF_EB89_4724_A2C4_2C7CA93C047F_.wvu.FilterData" localSheetId="0" hidden="1">Мониторинг!$F$4:$F$443</definedName>
    <definedName name="Z_B8F27A97_22A7_4ADF_B582_B62A6D138944_.wvu.FilterData" localSheetId="2" hidden="1">'04.06.2019 (2)'!$D$1:$D$421</definedName>
    <definedName name="Z_B8F27A97_22A7_4ADF_B582_B62A6D138944_.wvu.FilterData" localSheetId="3" hidden="1">'04.06.2019 (3)'!$D$1:$D$421</definedName>
    <definedName name="Z_B8F27A97_22A7_4ADF_B582_B62A6D138944_.wvu.FilterData" localSheetId="0" hidden="1">Мониторинг!$D$4:$D$443</definedName>
    <definedName name="Z_BDF82634_816A_4C82_A1A9_6AC3295FFBFE_.wvu.FilterData" localSheetId="2" hidden="1">'04.06.2019 (2)'!$D$1:$D$421</definedName>
    <definedName name="Z_BDF82634_816A_4C82_A1A9_6AC3295FFBFE_.wvu.FilterData" localSheetId="3" hidden="1">'04.06.2019 (3)'!$D$1:$D$421</definedName>
    <definedName name="Z_BDF82634_816A_4C82_A1A9_6AC3295FFBFE_.wvu.FilterData" localSheetId="0" hidden="1">Мониторинг!$D$4:$D$443</definedName>
    <definedName name="Z_C03CB9FE_13B9_41E3_B9C5_33E14252BC3D_.wvu.FilterData" localSheetId="2" hidden="1">'04.06.2019 (2)'!$D$1:$D$421</definedName>
    <definedName name="Z_C03CB9FE_13B9_41E3_B9C5_33E14252BC3D_.wvu.FilterData" localSheetId="3" hidden="1">'04.06.2019 (3)'!$D$1:$D$421</definedName>
    <definedName name="Z_C03CB9FE_13B9_41E3_B9C5_33E14252BC3D_.wvu.FilterData" localSheetId="0" hidden="1">Мониторинг!$D$4:$D$443</definedName>
    <definedName name="Z_C7888E88_B8DF_4769_AC02_1F394E38ED3F_.wvu.FilterData" localSheetId="2" hidden="1">'04.06.2019 (2)'!$D$1:$D$421</definedName>
    <definedName name="Z_C7888E88_B8DF_4769_AC02_1F394E38ED3F_.wvu.FilterData" localSheetId="3" hidden="1">'04.06.2019 (3)'!$D$1:$D$421</definedName>
    <definedName name="Z_C7888E88_B8DF_4769_AC02_1F394E38ED3F_.wvu.FilterData" localSheetId="0" hidden="1">Мониторинг!$D$4:$D$443</definedName>
    <definedName name="Z_C8580606_C303_407F_A5E8_BF1C41FC1777_.wvu.FilterData" localSheetId="2" hidden="1">'04.06.2019 (2)'!$D$1:$D$421</definedName>
    <definedName name="Z_C8580606_C303_407F_A5E8_BF1C41FC1777_.wvu.FilterData" localSheetId="3" hidden="1">'04.06.2019 (3)'!$D$1:$D$421</definedName>
    <definedName name="Z_C8580606_C303_407F_A5E8_BF1C41FC1777_.wvu.FilterData" localSheetId="0" hidden="1">Мониторинг!$D$4:$D$443</definedName>
    <definedName name="Z_C867CFD8_5670_4B11_A2B5_9F21B9F59178_.wvu.FilterData" localSheetId="2" hidden="1">'04.06.2019 (2)'!$D$1:$D$402</definedName>
    <definedName name="Z_C867CFD8_5670_4B11_A2B5_9F21B9F59178_.wvu.FilterData" localSheetId="3" hidden="1">'04.06.2019 (3)'!$D$1:$D$402</definedName>
    <definedName name="Z_C867CFD8_5670_4B11_A2B5_9F21B9F59178_.wvu.FilterData" localSheetId="0" hidden="1">Мониторинг!$D$4:$D$407</definedName>
    <definedName name="Z_C867CFD8_5670_4B11_A2B5_9F21B9F59178_.wvu.PrintArea" localSheetId="2" hidden="1">'04.06.2019 (2)'!$A$1:$Y$402</definedName>
    <definedName name="Z_C867CFD8_5670_4B11_A2B5_9F21B9F59178_.wvu.PrintArea" localSheetId="3" hidden="1">'04.06.2019 (3)'!$A$1:$Y$402</definedName>
    <definedName name="Z_C867CFD8_5670_4B11_A2B5_9F21B9F59178_.wvu.PrintArea" localSheetId="0" hidden="1">Мониторинг!$A$4:$CR$404</definedName>
    <definedName name="Z_C867CFD8_5670_4B11_A2B5_9F21B9F59178_.wvu.PrintTitles" localSheetId="2" hidden="1">'04.06.2019 (2)'!$2:$7</definedName>
    <definedName name="Z_C867CFD8_5670_4B11_A2B5_9F21B9F59178_.wvu.PrintTitles" localSheetId="3" hidden="1">'04.06.2019 (3)'!$2:$7</definedName>
    <definedName name="Z_C867CFD8_5670_4B11_A2B5_9F21B9F59178_.wvu.PrintTitles" localSheetId="0" hidden="1">Мониторинг!$6:$11</definedName>
    <definedName name="Z_CA55C913_4321_4CFD_B923_92AACA8598DA_.wvu.FilterData" localSheetId="2" hidden="1">'04.06.2019 (2)'!$D$1:$D$421</definedName>
    <definedName name="Z_CA55C913_4321_4CFD_B923_92AACA8598DA_.wvu.FilterData" localSheetId="3" hidden="1">'04.06.2019 (3)'!$D$1:$D$421</definedName>
    <definedName name="Z_CA55C913_4321_4CFD_B923_92AACA8598DA_.wvu.FilterData" localSheetId="0" hidden="1">Мониторинг!$D$4:$D$443</definedName>
    <definedName name="Z_CCD80588_3416_4567_A9AE_D616C4AA8EAB_.wvu.FilterData" localSheetId="2" hidden="1">'04.06.2019 (2)'!$D$1:$D$402</definedName>
    <definedName name="Z_CCD80588_3416_4567_A9AE_D616C4AA8EAB_.wvu.FilterData" localSheetId="3" hidden="1">'04.06.2019 (3)'!$D$1:$D$402</definedName>
    <definedName name="Z_CCD80588_3416_4567_A9AE_D616C4AA8EAB_.wvu.FilterData" localSheetId="0" hidden="1">Мониторинг!$D$4:$D$407</definedName>
    <definedName name="Z_D0B1D4B4_DA92_408D_B5D1_8054A16F20AD_.wvu.FilterData" localSheetId="2" hidden="1">'04.06.2019 (2)'!$D$1:$D$421</definedName>
    <definedName name="Z_D0B1D4B4_DA92_408D_B5D1_8054A16F20AD_.wvu.FilterData" localSheetId="3" hidden="1">'04.06.2019 (3)'!$D$1:$D$421</definedName>
    <definedName name="Z_D0B1D4B4_DA92_408D_B5D1_8054A16F20AD_.wvu.FilterData" localSheetId="0" hidden="1">Мониторинг!$D$4:$D$443</definedName>
    <definedName name="Z_D58068A9_F2CD_4C5E_B04C_67E04FECCC68_.wvu.FilterData" localSheetId="2" hidden="1">'04.06.2019 (2)'!$D$1:$D$421</definedName>
    <definedName name="Z_D58068A9_F2CD_4C5E_B04C_67E04FECCC68_.wvu.FilterData" localSheetId="3" hidden="1">'04.06.2019 (3)'!$D$1:$D$421</definedName>
    <definedName name="Z_D58068A9_F2CD_4C5E_B04C_67E04FECCC68_.wvu.FilterData" localSheetId="0" hidden="1">Мониторинг!$D$4:$D$443</definedName>
    <definedName name="Z_D6EF9E2D_B350_463E_850C_11A0E64C4497_.wvu.FilterData" localSheetId="2" hidden="1">'04.06.2019 (2)'!$D$1:$D$421</definedName>
    <definedName name="Z_D6EF9E2D_B350_463E_850C_11A0E64C4497_.wvu.FilterData" localSheetId="3" hidden="1">'04.06.2019 (3)'!$D$1:$D$421</definedName>
    <definedName name="Z_D6EF9E2D_B350_463E_850C_11A0E64C4497_.wvu.FilterData" localSheetId="0" hidden="1">Мониторинг!$D$4:$D$443</definedName>
    <definedName name="Z_DD5729D9_F3B5_4EBC_9B79_E5F17D4EDA4B_.wvu.FilterData" localSheetId="2" hidden="1">'04.06.2019 (2)'!$D$1:$D$421</definedName>
    <definedName name="Z_DD5729D9_F3B5_4EBC_9B79_E5F17D4EDA4B_.wvu.FilterData" localSheetId="3" hidden="1">'04.06.2019 (3)'!$D$1:$D$421</definedName>
    <definedName name="Z_DD5729D9_F3B5_4EBC_9B79_E5F17D4EDA4B_.wvu.FilterData" localSheetId="0" hidden="1">Мониторинг!$D$4:$D$443</definedName>
    <definedName name="Z_DDC1E773_7361_41FB_B3FA_6CD821737CB2_.wvu.FilterData" localSheetId="2" hidden="1">'04.06.2019 (2)'!$D$1:$D$402</definedName>
    <definedName name="Z_DDC1E773_7361_41FB_B3FA_6CD821737CB2_.wvu.FilterData" localSheetId="3" hidden="1">'04.06.2019 (3)'!$D$1:$D$402</definedName>
    <definedName name="Z_DDC1E773_7361_41FB_B3FA_6CD821737CB2_.wvu.FilterData" localSheetId="0" hidden="1">Мониторинг!$D$4:$D$407</definedName>
    <definedName name="Z_DE1548E9_12C9_4151_8F67_23B522A067E9_.wvu.FilterData" localSheetId="2" hidden="1">'04.06.2019 (2)'!$D$1:$D$421</definedName>
    <definedName name="Z_DE1548E9_12C9_4151_8F67_23B522A067E9_.wvu.FilterData" localSheetId="3" hidden="1">'04.06.2019 (3)'!$D$1:$D$421</definedName>
    <definedName name="Z_DE1548E9_12C9_4151_8F67_23B522A067E9_.wvu.FilterData" localSheetId="0" hidden="1">Мониторинг!$D$4:$D$443</definedName>
    <definedName name="Z_DEE4FACC_36AB_4963_B770_3096E3B292B9_.wvu.FilterData" localSheetId="2" hidden="1">'04.06.2019 (2)'!$D$1:$D$421</definedName>
    <definedName name="Z_DEE4FACC_36AB_4963_B770_3096E3B292B9_.wvu.FilterData" localSheetId="3" hidden="1">'04.06.2019 (3)'!$D$1:$D$421</definedName>
    <definedName name="Z_DEE4FACC_36AB_4963_B770_3096E3B292B9_.wvu.FilterData" localSheetId="0" hidden="1">Мониторинг!$D$4:$D$443</definedName>
    <definedName name="Z_DEE4FACC_36AB_4963_B770_3096E3B292B9_.wvu.PrintArea" localSheetId="2" hidden="1">'04.06.2019 (2)'!$A$1:$Y$402</definedName>
    <definedName name="Z_DEE4FACC_36AB_4963_B770_3096E3B292B9_.wvu.PrintArea" localSheetId="3" hidden="1">'04.06.2019 (3)'!$A$1:$Y$402</definedName>
    <definedName name="Z_DEE4FACC_36AB_4963_B770_3096E3B292B9_.wvu.PrintArea" localSheetId="0" hidden="1">Мониторинг!$A$4:$CR$404</definedName>
    <definedName name="Z_DEE4FACC_36AB_4963_B770_3096E3B292B9_.wvu.PrintTitles" localSheetId="2" hidden="1">'04.06.2019 (2)'!$2:$7</definedName>
    <definedName name="Z_DEE4FACC_36AB_4963_B770_3096E3B292B9_.wvu.PrintTitles" localSheetId="3" hidden="1">'04.06.2019 (3)'!$2:$7</definedName>
    <definedName name="Z_DEE4FACC_36AB_4963_B770_3096E3B292B9_.wvu.PrintTitles" localSheetId="0" hidden="1">Мониторинг!$6:$11</definedName>
    <definedName name="Z_E4927F70_2118_473E_98AA_C8FD9AC8B617_.wvu.FilterData" localSheetId="2" hidden="1">'04.06.2019 (2)'!$D$1:$D$421</definedName>
    <definedName name="Z_E4927F70_2118_473E_98AA_C8FD9AC8B617_.wvu.FilterData" localSheetId="3" hidden="1">'04.06.2019 (3)'!$D$1:$D$421</definedName>
    <definedName name="Z_E4927F70_2118_473E_98AA_C8FD9AC8B617_.wvu.FilterData" localSheetId="0" hidden="1">Мониторинг!$D$4:$D$443</definedName>
    <definedName name="Z_F1EA4597_279A_4691_8A0A_B7B92150DA68_.wvu.FilterData" localSheetId="2" hidden="1">'04.06.2019 (2)'!$D$1:$D$402</definedName>
    <definedName name="Z_F1EA4597_279A_4691_8A0A_B7B92150DA68_.wvu.FilterData" localSheetId="3" hidden="1">'04.06.2019 (3)'!$D$1:$D$402</definedName>
    <definedName name="Z_F1EA4597_279A_4691_8A0A_B7B92150DA68_.wvu.FilterData" localSheetId="0" hidden="1">Мониторинг!$D$4:$D$407</definedName>
    <definedName name="Z_F1EA4597_279A_4691_8A0A_B7B92150DA68_.wvu.PrintArea" localSheetId="2" hidden="1">'04.06.2019 (2)'!$A$1:$Y$402</definedName>
    <definedName name="Z_F1EA4597_279A_4691_8A0A_B7B92150DA68_.wvu.PrintArea" localSheetId="3" hidden="1">'04.06.2019 (3)'!$A$1:$Y$402</definedName>
    <definedName name="Z_F1EA4597_279A_4691_8A0A_B7B92150DA68_.wvu.PrintArea" localSheetId="0" hidden="1">Мониторинг!$A$4:$CR$404</definedName>
    <definedName name="Z_F1EA4597_279A_4691_8A0A_B7B92150DA68_.wvu.PrintTitles" localSheetId="2" hidden="1">'04.06.2019 (2)'!$2:$7</definedName>
    <definedName name="Z_F1EA4597_279A_4691_8A0A_B7B92150DA68_.wvu.PrintTitles" localSheetId="3" hidden="1">'04.06.2019 (3)'!$2:$7</definedName>
    <definedName name="Z_F1EA4597_279A_4691_8A0A_B7B92150DA68_.wvu.PrintTitles" localSheetId="0" hidden="1">Мониторинг!$6:$11</definedName>
    <definedName name="Z_F286BE3B_E7E3_4B6E_9DD4_F19FE3637764_.wvu.FilterData" localSheetId="2" hidden="1">'04.06.2019 (2)'!$D$1:$D$402</definedName>
    <definedName name="Z_F286BE3B_E7E3_4B6E_9DD4_F19FE3637764_.wvu.FilterData" localSheetId="3" hidden="1">'04.06.2019 (3)'!$D$1:$D$402</definedName>
    <definedName name="Z_F286BE3B_E7E3_4B6E_9DD4_F19FE3637764_.wvu.FilterData" localSheetId="0" hidden="1">Мониторинг!$D$4:$D$407</definedName>
    <definedName name="Z_F30643A7_73C6_472C_885A_ED0C3AA0F9FD_.wvu.FilterData" localSheetId="2" hidden="1">'04.06.2019 (2)'!$D$1:$D$421</definedName>
    <definedName name="Z_F30643A7_73C6_472C_885A_ED0C3AA0F9FD_.wvu.FilterData" localSheetId="3" hidden="1">'04.06.2019 (3)'!$D$1:$D$421</definedName>
    <definedName name="Z_F30643A7_73C6_472C_885A_ED0C3AA0F9FD_.wvu.FilterData" localSheetId="0" hidden="1">Мониторинг!$D$4:$D$443</definedName>
    <definedName name="Z_F7990B96_3335_4DB7_951E_B71D9E01DE94_.wvu.FilterData" localSheetId="2" hidden="1">'04.06.2019 (2)'!$D$1:$D$421</definedName>
    <definedName name="Z_F7990B96_3335_4DB7_951E_B71D9E01DE94_.wvu.FilterData" localSheetId="3" hidden="1">'04.06.2019 (3)'!$D$1:$D$421</definedName>
    <definedName name="Z_F7990B96_3335_4DB7_951E_B71D9E01DE94_.wvu.FilterData" localSheetId="0" hidden="1">Мониторинг!$D$4:$D$443</definedName>
    <definedName name="Z_F93FAFEB_3ADE_4DAD_B459_A2B9419EF974_.wvu.FilterData" localSheetId="2" hidden="1">'04.06.2019 (2)'!$D$1:$D$402</definedName>
    <definedName name="Z_F93FAFEB_3ADE_4DAD_B459_A2B9419EF974_.wvu.FilterData" localSheetId="3" hidden="1">'04.06.2019 (3)'!$D$1:$D$402</definedName>
    <definedName name="Z_F93FAFEB_3ADE_4DAD_B459_A2B9419EF974_.wvu.FilterData" localSheetId="0" hidden="1">Мониторинг!$D$4:$D$407</definedName>
    <definedName name="Z_F93FAFEB_3ADE_4DAD_B459_A2B9419EF974_.wvu.PrintArea" localSheetId="2" hidden="1">'04.06.2019 (2)'!$A$1:$Y$402</definedName>
    <definedName name="Z_F93FAFEB_3ADE_4DAD_B459_A2B9419EF974_.wvu.PrintArea" localSheetId="3" hidden="1">'04.06.2019 (3)'!$A$1:$Y$402</definedName>
    <definedName name="Z_F93FAFEB_3ADE_4DAD_B459_A2B9419EF974_.wvu.PrintArea" localSheetId="0" hidden="1">Мониторинг!$A$4:$CR$404</definedName>
    <definedName name="Z_F93FAFEB_3ADE_4DAD_B459_A2B9419EF974_.wvu.PrintTitles" localSheetId="2" hidden="1">'04.06.2019 (2)'!$2:$7</definedName>
    <definedName name="Z_F93FAFEB_3ADE_4DAD_B459_A2B9419EF974_.wvu.PrintTitles" localSheetId="3" hidden="1">'04.06.2019 (3)'!$2:$7</definedName>
    <definedName name="Z_F93FAFEB_3ADE_4DAD_B459_A2B9419EF974_.wvu.PrintTitles" localSheetId="0" hidden="1">Мониторинг!$6:$11</definedName>
    <definedName name="_xlnm.Print_Titles" localSheetId="2">'04.06.2019 (2)'!$2:$7</definedName>
    <definedName name="_xlnm.Print_Titles" localSheetId="3">'04.06.2019 (3)'!$2:$7</definedName>
    <definedName name="_xlnm.Print_Titles" localSheetId="0">Мониторинг!$6:$11</definedName>
    <definedName name="_xlnm.Print_Area" localSheetId="2">'04.06.2019 (2)'!$A$1:$Z$402</definedName>
    <definedName name="_xlnm.Print_Area" localSheetId="3">'04.06.2019 (3)'!$A$1:$Y$402</definedName>
    <definedName name="_xlnm.Print_Area" localSheetId="0">Мониторинг!$A$2:$CK$401</definedName>
  </definedNames>
  <calcPr calcId="152511"/>
  <customWorkbookViews>
    <customWorkbookView name="Ласкевич Ольга Константиновна - Личное представление" guid="{7CB84A99-B60B-4692-871F-5B279F60114D}" mergeInterval="0" personalView="1" maximized="1" xWindow="-8" yWindow="-8" windowWidth="1696" windowHeight="1026" activeSheetId="1"/>
    <customWorkbookView name="Санарова Анастасия Олеговна - Личное представление" guid="{DEE4FACC-36AB-4963-B770-3096E3B292B9}" mergeInterval="0" personalView="1" maximized="1" xWindow="-8" yWindow="-8" windowWidth="1936" windowHeight="1056" activeSheetId="1"/>
    <customWorkbookView name="Папанцева Юлия Владимировна - Личное представление" guid="{54174458-CE6F-46B3-81FF-85C43D9CF583}" mergeInterval="0" personalView="1" maximized="1" xWindow="-8" yWindow="-8" windowWidth="1936" windowHeight="1056" activeSheetId="1"/>
  </customWorkbookViews>
</workbook>
</file>

<file path=xl/calcChain.xml><?xml version="1.0" encoding="utf-8"?>
<calcChain xmlns="http://schemas.openxmlformats.org/spreadsheetml/2006/main">
  <c r="M379" i="1" l="1"/>
  <c r="M74" i="1" l="1"/>
  <c r="M73" i="1"/>
  <c r="L373" i="1" l="1"/>
  <c r="L70" i="1"/>
  <c r="L69" i="1"/>
  <c r="J238" i="1" l="1"/>
  <c r="AK158" i="1" l="1"/>
  <c r="CO364" i="1"/>
  <c r="CP364" i="1"/>
  <c r="CQ364" i="1"/>
  <c r="CR364" i="1"/>
  <c r="B5" i="5" l="1"/>
  <c r="A5" i="5"/>
  <c r="Y402" i="4"/>
  <c r="X402" i="4"/>
  <c r="W402" i="4"/>
  <c r="V402" i="4"/>
  <c r="U402" i="4"/>
  <c r="T376" i="4"/>
  <c r="S376" i="4"/>
  <c r="R376" i="4"/>
  <c r="Q376" i="4"/>
  <c r="P376" i="4"/>
  <c r="O376" i="4"/>
  <c r="N376" i="4"/>
  <c r="M376" i="4"/>
  <c r="L376" i="4"/>
  <c r="K376" i="4"/>
  <c r="J376" i="4"/>
  <c r="J368" i="4"/>
  <c r="K368" i="4" s="1"/>
  <c r="L368" i="4" s="1"/>
  <c r="M368" i="4" s="1"/>
  <c r="N368" i="4" s="1"/>
  <c r="O368" i="4" s="1"/>
  <c r="I292" i="4"/>
  <c r="T239" i="4"/>
  <c r="S239" i="4"/>
  <c r="R239" i="4"/>
  <c r="Q239" i="4"/>
  <c r="P239" i="4"/>
  <c r="O239" i="4"/>
  <c r="N239" i="4"/>
  <c r="M239" i="4"/>
  <c r="L239" i="4"/>
  <c r="J239" i="4"/>
  <c r="I239" i="4"/>
  <c r="L204" i="4"/>
  <c r="M204" i="4" s="1"/>
  <c r="N204" i="4" s="1"/>
  <c r="O204" i="4" s="1"/>
  <c r="P204" i="4" s="1"/>
  <c r="Q204" i="4" s="1"/>
  <c r="R204" i="4" s="1"/>
  <c r="S204" i="4" s="1"/>
  <c r="T204" i="4" s="1"/>
  <c r="T83" i="4"/>
  <c r="T75" i="4"/>
  <c r="S75" i="4"/>
  <c r="R75" i="4"/>
  <c r="Q75" i="4"/>
  <c r="P75" i="4"/>
  <c r="O75" i="4"/>
  <c r="N75" i="4"/>
  <c r="M75" i="4"/>
  <c r="L75" i="4"/>
  <c r="K75" i="4"/>
  <c r="J75" i="4"/>
  <c r="I75" i="4"/>
  <c r="T74" i="4"/>
  <c r="S74" i="4"/>
  <c r="R74" i="4"/>
  <c r="Q74" i="4"/>
  <c r="P74" i="4"/>
  <c r="O74" i="4"/>
  <c r="N74" i="4"/>
  <c r="M74" i="4"/>
  <c r="L74" i="4"/>
  <c r="T71" i="4"/>
  <c r="S71" i="4"/>
  <c r="R71" i="4"/>
  <c r="Q71" i="4"/>
  <c r="P71" i="4"/>
  <c r="O71" i="4"/>
  <c r="N71" i="4"/>
  <c r="M71" i="4"/>
  <c r="L71" i="4"/>
  <c r="K71" i="4"/>
  <c r="J71" i="4"/>
  <c r="I71" i="4"/>
  <c r="T70" i="4"/>
  <c r="S70" i="4"/>
  <c r="R70" i="4"/>
  <c r="Q70" i="4"/>
  <c r="P70" i="4"/>
  <c r="O70" i="4"/>
  <c r="N70" i="4"/>
  <c r="M70" i="4"/>
  <c r="L70" i="4"/>
  <c r="K70" i="4"/>
  <c r="J70" i="4"/>
  <c r="T67" i="4"/>
  <c r="S67" i="4"/>
  <c r="R67" i="4"/>
  <c r="Q67" i="4"/>
  <c r="P67" i="4"/>
  <c r="O67" i="4"/>
  <c r="N67" i="4"/>
  <c r="M67" i="4"/>
  <c r="L67" i="4"/>
  <c r="K67" i="4"/>
  <c r="J67" i="4"/>
  <c r="I67" i="4"/>
  <c r="T28" i="4"/>
  <c r="S28" i="4"/>
  <c r="R28" i="4"/>
  <c r="Q28" i="4"/>
  <c r="P28" i="4"/>
  <c r="O28" i="4"/>
  <c r="N28" i="4"/>
  <c r="M28" i="4"/>
  <c r="L28" i="4"/>
  <c r="K28" i="4"/>
  <c r="J28" i="4"/>
  <c r="I28" i="4"/>
  <c r="H28" i="4"/>
  <c r="T27" i="4"/>
  <c r="S27" i="4"/>
  <c r="R27" i="4"/>
  <c r="Q27" i="4"/>
  <c r="P27" i="4"/>
  <c r="O27" i="4"/>
  <c r="N27" i="4"/>
  <c r="M27" i="4"/>
  <c r="L27" i="4"/>
  <c r="K27" i="4"/>
  <c r="J27" i="4"/>
  <c r="I27" i="4"/>
  <c r="H27" i="4"/>
  <c r="I10" i="4"/>
  <c r="T376" i="2" l="1"/>
  <c r="S376" i="2"/>
  <c r="R376" i="2"/>
  <c r="Q376" i="2"/>
  <c r="P376" i="2"/>
  <c r="O376" i="2"/>
  <c r="N376" i="2"/>
  <c r="M376" i="2"/>
  <c r="L376" i="2"/>
  <c r="K376" i="2"/>
  <c r="J376" i="2"/>
  <c r="J368" i="2"/>
  <c r="K368" i="2" s="1"/>
  <c r="L368" i="2" s="1"/>
  <c r="M368" i="2" s="1"/>
  <c r="N368" i="2" s="1"/>
  <c r="O368" i="2" s="1"/>
  <c r="I292" i="2"/>
  <c r="T239" i="2"/>
  <c r="S239" i="2"/>
  <c r="R239" i="2"/>
  <c r="Q239" i="2"/>
  <c r="P239" i="2"/>
  <c r="O239" i="2"/>
  <c r="N239" i="2"/>
  <c r="M239" i="2"/>
  <c r="L239" i="2"/>
  <c r="J239" i="2"/>
  <c r="I239" i="2"/>
  <c r="L204" i="2"/>
  <c r="M204" i="2" s="1"/>
  <c r="N204" i="2" s="1"/>
  <c r="O204" i="2" s="1"/>
  <c r="P204" i="2" s="1"/>
  <c r="Q204" i="2" s="1"/>
  <c r="R204" i="2" s="1"/>
  <c r="S204" i="2" s="1"/>
  <c r="T204" i="2" s="1"/>
  <c r="T83" i="2"/>
  <c r="T75" i="2"/>
  <c r="S75" i="2"/>
  <c r="R75" i="2"/>
  <c r="Q75" i="2"/>
  <c r="P75" i="2"/>
  <c r="O75" i="2"/>
  <c r="N75" i="2"/>
  <c r="M75" i="2"/>
  <c r="L75" i="2"/>
  <c r="K75" i="2"/>
  <c r="J75" i="2"/>
  <c r="I75" i="2"/>
  <c r="T74" i="2"/>
  <c r="S74" i="2"/>
  <c r="R74" i="2"/>
  <c r="Q74" i="2"/>
  <c r="P74" i="2"/>
  <c r="O74" i="2"/>
  <c r="N74" i="2"/>
  <c r="M74" i="2"/>
  <c r="L74" i="2"/>
  <c r="T71" i="2"/>
  <c r="S71" i="2"/>
  <c r="R71" i="2"/>
  <c r="Q71" i="2"/>
  <c r="P71" i="2"/>
  <c r="O71" i="2"/>
  <c r="N71" i="2"/>
  <c r="M71" i="2"/>
  <c r="L71" i="2"/>
  <c r="K71" i="2"/>
  <c r="J71" i="2"/>
  <c r="I71" i="2"/>
  <c r="T70" i="2"/>
  <c r="S70" i="2"/>
  <c r="R70" i="2"/>
  <c r="Q70" i="2"/>
  <c r="P70" i="2"/>
  <c r="O70" i="2"/>
  <c r="N70" i="2"/>
  <c r="M70" i="2"/>
  <c r="L70" i="2"/>
  <c r="K70" i="2"/>
  <c r="J70" i="2"/>
  <c r="T67" i="2"/>
  <c r="S67" i="2"/>
  <c r="R67" i="2"/>
  <c r="Q67" i="2"/>
  <c r="P67" i="2"/>
  <c r="O67" i="2"/>
  <c r="N67" i="2"/>
  <c r="M67" i="2"/>
  <c r="L67" i="2"/>
  <c r="K67" i="2"/>
  <c r="J67" i="2"/>
  <c r="I67" i="2"/>
  <c r="T28" i="2"/>
  <c r="S28" i="2"/>
  <c r="R28" i="2"/>
  <c r="Q28" i="2"/>
  <c r="P28" i="2"/>
  <c r="O28" i="2"/>
  <c r="N28" i="2"/>
  <c r="M28" i="2"/>
  <c r="L28" i="2"/>
  <c r="K28" i="2"/>
  <c r="J28" i="2"/>
  <c r="I28" i="2"/>
  <c r="H28" i="2"/>
  <c r="T27" i="2"/>
  <c r="S27" i="2"/>
  <c r="R27" i="2"/>
  <c r="Q27" i="2"/>
  <c r="P27" i="2"/>
  <c r="O27" i="2"/>
  <c r="N27" i="2"/>
  <c r="M27" i="2"/>
  <c r="L27" i="2"/>
  <c r="K27" i="2"/>
  <c r="J27" i="2"/>
  <c r="I27" i="2"/>
  <c r="H27" i="2"/>
  <c r="I10" i="2"/>
  <c r="X402" i="2" l="1"/>
  <c r="W402" i="2"/>
  <c r="V402" i="2"/>
  <c r="AC401" i="1"/>
  <c r="Y402" i="2" l="1"/>
  <c r="CI156" i="1"/>
  <c r="CJ156" i="1"/>
  <c r="CK156" i="1"/>
  <c r="CL156" i="1"/>
  <c r="CM156" i="1"/>
  <c r="CN156" i="1"/>
  <c r="CO156" i="1"/>
  <c r="CP156" i="1"/>
  <c r="CQ156" i="1"/>
  <c r="CR156" i="1"/>
  <c r="CK223" i="1"/>
  <c r="AK223" i="1"/>
  <c r="AF223" i="1"/>
  <c r="AA223" i="1"/>
  <c r="AE372" i="1"/>
  <c r="AK300" i="1"/>
  <c r="AF300" i="1"/>
  <c r="AA300" i="1"/>
  <c r="CI223" i="1" l="1"/>
  <c r="CS156" i="1"/>
  <c r="U402" i="2"/>
  <c r="CI67" i="1"/>
  <c r="CJ67" i="1"/>
  <c r="CK67" i="1"/>
  <c r="CL67" i="1"/>
  <c r="CM67" i="1"/>
  <c r="CN67" i="1"/>
  <c r="CO67" i="1"/>
  <c r="CP67" i="1"/>
  <c r="CQ67" i="1"/>
  <c r="CR67" i="1"/>
  <c r="CS67" i="1" l="1"/>
  <c r="CI155" i="1" l="1"/>
  <c r="CJ155" i="1"/>
  <c r="CK155" i="1"/>
  <c r="CL155" i="1"/>
  <c r="CM155" i="1"/>
  <c r="CN155" i="1"/>
  <c r="CO155" i="1"/>
  <c r="CP155" i="1"/>
  <c r="CQ155" i="1"/>
  <c r="CR155" i="1"/>
  <c r="CS155" i="1" l="1"/>
  <c r="CJ139" i="1"/>
  <c r="CK139" i="1"/>
  <c r="CL139" i="1"/>
  <c r="CM139" i="1"/>
  <c r="CO139" i="1"/>
  <c r="CP139" i="1"/>
  <c r="CQ139" i="1"/>
  <c r="CR139" i="1"/>
  <c r="CD139" i="1"/>
  <c r="BO139" i="1"/>
  <c r="BJ139" i="1"/>
  <c r="BE139" i="1"/>
  <c r="AZ139" i="1"/>
  <c r="AU139" i="1"/>
  <c r="AP139" i="1"/>
  <c r="AK139" i="1"/>
  <c r="AF139" i="1"/>
  <c r="CN139" i="1" l="1"/>
  <c r="CS139" i="1" s="1"/>
  <c r="CI139" i="1"/>
  <c r="CP223" i="1" l="1"/>
  <c r="AG203" i="1" l="1"/>
  <c r="AF203" i="1" s="1"/>
  <c r="AL203" i="1"/>
  <c r="AK203" i="1" s="1"/>
  <c r="AB203" i="1"/>
  <c r="AA203" i="1" s="1"/>
  <c r="AP203" i="1"/>
  <c r="AU203" i="1"/>
  <c r="AZ203" i="1"/>
  <c r="BE203" i="1"/>
  <c r="BJ203" i="1"/>
  <c r="BO203" i="1"/>
  <c r="BT203" i="1"/>
  <c r="BY203" i="1"/>
  <c r="CD203" i="1"/>
  <c r="CE95" i="1" l="1"/>
  <c r="BZ95" i="1"/>
  <c r="BU95" i="1"/>
  <c r="BP95" i="1"/>
  <c r="BK95" i="1"/>
  <c r="BF95" i="1"/>
  <c r="BA95" i="1"/>
  <c r="AV95" i="1"/>
  <c r="AQ95" i="1"/>
  <c r="AU95" i="1" l="1"/>
  <c r="AV401" i="1"/>
  <c r="BO95" i="1"/>
  <c r="BP401" i="1"/>
  <c r="AZ95" i="1"/>
  <c r="BA401" i="1"/>
  <c r="BT95" i="1"/>
  <c r="BU401" i="1"/>
  <c r="BE95" i="1"/>
  <c r="BF401" i="1"/>
  <c r="BY95" i="1"/>
  <c r="BZ401" i="1"/>
  <c r="AP95" i="1"/>
  <c r="AQ401" i="1"/>
  <c r="BJ95" i="1"/>
  <c r="BK401" i="1"/>
  <c r="CD95" i="1"/>
  <c r="CE401" i="1"/>
  <c r="CR312" i="1"/>
  <c r="CR311" i="1" s="1"/>
  <c r="CQ312" i="1"/>
  <c r="CQ311" i="1" s="1"/>
  <c r="CP312" i="1"/>
  <c r="CP311" i="1" s="1"/>
  <c r="CO312" i="1"/>
  <c r="CO311" i="1" s="1"/>
  <c r="CN312" i="1"/>
  <c r="CN311" i="1" s="1"/>
  <c r="CM312" i="1"/>
  <c r="CL312" i="1"/>
  <c r="CK312" i="1"/>
  <c r="CJ312" i="1"/>
  <c r="CI312" i="1"/>
  <c r="CS312" i="1" l="1"/>
  <c r="CS311" i="1" s="1"/>
  <c r="AA87" i="1"/>
  <c r="J365" i="1" l="1"/>
  <c r="Q365" i="1" s="1"/>
  <c r="R365" i="1" s="1"/>
  <c r="S365" i="1" s="1"/>
  <c r="T365" i="1" s="1"/>
  <c r="U365" i="1" s="1"/>
  <c r="Z82" i="1" l="1"/>
  <c r="CD80" i="1" l="1"/>
  <c r="BY80" i="1"/>
  <c r="BT80" i="1"/>
  <c r="BO80" i="1"/>
  <c r="BJ80" i="1"/>
  <c r="BE80" i="1"/>
  <c r="AZ80" i="1"/>
  <c r="AU80" i="1"/>
  <c r="AP80" i="1"/>
  <c r="AK80" i="1"/>
  <c r="AF80" i="1"/>
  <c r="CS72" i="1" l="1"/>
  <c r="CS30" i="1"/>
  <c r="CS28" i="1"/>
  <c r="CR100" i="1" l="1"/>
  <c r="CQ100" i="1"/>
  <c r="CP100" i="1"/>
  <c r="CO100" i="1"/>
  <c r="CR99" i="1"/>
  <c r="CQ99" i="1"/>
  <c r="CP99" i="1"/>
  <c r="CO99" i="1"/>
  <c r="CR98" i="1"/>
  <c r="CQ98" i="1"/>
  <c r="CP98" i="1"/>
  <c r="CO98" i="1"/>
  <c r="CM98" i="1"/>
  <c r="CL98" i="1"/>
  <c r="CK98" i="1"/>
  <c r="CJ98" i="1"/>
  <c r="AA368" i="1" l="1"/>
  <c r="AJ71" i="1" l="1"/>
  <c r="AF71" i="1" s="1"/>
  <c r="CO199" i="1" l="1"/>
  <c r="CP199" i="1"/>
  <c r="CQ199" i="1"/>
  <c r="CR199" i="1"/>
  <c r="CD199" i="1"/>
  <c r="BY199" i="1"/>
  <c r="BT199" i="1"/>
  <c r="BO199" i="1"/>
  <c r="BJ199" i="1"/>
  <c r="BE199" i="1"/>
  <c r="AZ199" i="1"/>
  <c r="AU199" i="1"/>
  <c r="AP199" i="1"/>
  <c r="CN199" i="1" l="1"/>
  <c r="CS199" i="1" l="1"/>
  <c r="AL95" i="1"/>
  <c r="AG95" i="1"/>
  <c r="AB95" i="1"/>
  <c r="CD98" i="1"/>
  <c r="BY98" i="1"/>
  <c r="BT98" i="1"/>
  <c r="BO98" i="1"/>
  <c r="BJ98" i="1"/>
  <c r="BE98" i="1"/>
  <c r="AZ98" i="1"/>
  <c r="AU98" i="1"/>
  <c r="AP98" i="1"/>
  <c r="AK98" i="1"/>
  <c r="AF98" i="1"/>
  <c r="AA98" i="1"/>
  <c r="AA95" i="1" l="1"/>
  <c r="AF95" i="1"/>
  <c r="AG401" i="1"/>
  <c r="AK95" i="1"/>
  <c r="AL401" i="1"/>
  <c r="CI98" i="1"/>
  <c r="CN98" i="1"/>
  <c r="CS98" i="1" s="1"/>
  <c r="AZ170" i="1"/>
  <c r="AZ169" i="1"/>
  <c r="BE167" i="1"/>
  <c r="BE166" i="1" l="1"/>
  <c r="AZ166" i="1"/>
  <c r="AZ164" i="1"/>
  <c r="AM171" i="1"/>
  <c r="AR168" i="1"/>
  <c r="AM168" i="1"/>
  <c r="AK268" i="1" l="1"/>
  <c r="CN375" i="1" l="1"/>
  <c r="CO375" i="1"/>
  <c r="CP375" i="1"/>
  <c r="CQ375" i="1"/>
  <c r="CR375" i="1"/>
  <c r="CI375" i="1"/>
  <c r="CJ375" i="1"/>
  <c r="CK375" i="1"/>
  <c r="CL375" i="1"/>
  <c r="CM375" i="1"/>
  <c r="Z66" i="1"/>
  <c r="Y66" i="1"/>
  <c r="X66" i="1"/>
  <c r="W66" i="1"/>
  <c r="V66" i="1"/>
  <c r="U66" i="1"/>
  <c r="T66" i="1"/>
  <c r="S66" i="1"/>
  <c r="R66" i="1"/>
  <c r="Q66" i="1"/>
  <c r="J66" i="1"/>
  <c r="I66" i="1"/>
  <c r="CS375" i="1" l="1"/>
  <c r="BE38" i="1" l="1"/>
  <c r="CI38" i="1" l="1"/>
  <c r="AK362" i="1"/>
  <c r="AF362" i="1"/>
  <c r="AA362" i="1"/>
  <c r="AK354" i="1"/>
  <c r="AF354" i="1"/>
  <c r="AF355" i="1"/>
  <c r="AA354" i="1"/>
  <c r="AA355" i="1"/>
  <c r="CN362" i="1" l="1"/>
  <c r="CI362" i="1"/>
  <c r="AF367" i="1"/>
  <c r="CI367" i="1" l="1"/>
  <c r="Z69" i="1" l="1"/>
  <c r="Y69" i="1"/>
  <c r="X69" i="1"/>
  <c r="W69" i="1"/>
  <c r="V69" i="1"/>
  <c r="U69" i="1"/>
  <c r="T69" i="1"/>
  <c r="S69" i="1"/>
  <c r="R69" i="1"/>
  <c r="Q69" i="1"/>
  <c r="CJ68" i="1" l="1"/>
  <c r="CK68" i="1"/>
  <c r="CL68" i="1"/>
  <c r="CM68" i="1"/>
  <c r="CO68" i="1"/>
  <c r="CP68" i="1"/>
  <c r="CQ68" i="1"/>
  <c r="CR68" i="1"/>
  <c r="CI68" i="1" l="1"/>
  <c r="CN68" i="1"/>
  <c r="CS68" i="1" s="1"/>
  <c r="CD73" i="1" l="1"/>
  <c r="BY73" i="1"/>
  <c r="BT73" i="1"/>
  <c r="BO73" i="1"/>
  <c r="BJ73" i="1"/>
  <c r="BE73" i="1"/>
  <c r="AZ73" i="1"/>
  <c r="AU73" i="1"/>
  <c r="AP73" i="1"/>
  <c r="CQ73" i="1"/>
  <c r="CR73" i="1"/>
  <c r="CQ74" i="1"/>
  <c r="CR74" i="1"/>
  <c r="CI73" i="1"/>
  <c r="CJ73" i="1"/>
  <c r="CK73" i="1"/>
  <c r="CL73" i="1"/>
  <c r="CM73" i="1"/>
  <c r="CO73" i="1"/>
  <c r="CP73" i="1"/>
  <c r="CJ74" i="1"/>
  <c r="CK74" i="1"/>
  <c r="CL74" i="1"/>
  <c r="CM74" i="1"/>
  <c r="CO74" i="1"/>
  <c r="CP74" i="1"/>
  <c r="CD74" i="1"/>
  <c r="BY74" i="1"/>
  <c r="BT74" i="1"/>
  <c r="BO74" i="1"/>
  <c r="BJ74" i="1"/>
  <c r="BE74" i="1"/>
  <c r="AZ74" i="1"/>
  <c r="AU74" i="1"/>
  <c r="AP74" i="1"/>
  <c r="AK74" i="1"/>
  <c r="AF74" i="1"/>
  <c r="AA74" i="1"/>
  <c r="Z74" i="1"/>
  <c r="Y74" i="1"/>
  <c r="X74" i="1"/>
  <c r="W74" i="1"/>
  <c r="V74" i="1"/>
  <c r="U74" i="1"/>
  <c r="T74" i="1"/>
  <c r="S74" i="1"/>
  <c r="R74" i="1"/>
  <c r="Q74" i="1"/>
  <c r="J74" i="1"/>
  <c r="I74" i="1"/>
  <c r="Z73" i="1"/>
  <c r="Y73" i="1"/>
  <c r="X73" i="1"/>
  <c r="W73" i="1"/>
  <c r="V73" i="1"/>
  <c r="U73" i="1"/>
  <c r="T73" i="1"/>
  <c r="S73" i="1"/>
  <c r="R73" i="1"/>
  <c r="BJ70" i="1"/>
  <c r="CO69" i="1"/>
  <c r="CP69" i="1"/>
  <c r="CQ69" i="1"/>
  <c r="CR69" i="1"/>
  <c r="CO70" i="1"/>
  <c r="CP70" i="1"/>
  <c r="CQ70" i="1"/>
  <c r="CR70" i="1"/>
  <c r="CJ69" i="1"/>
  <c r="CK69" i="1"/>
  <c r="CL69" i="1"/>
  <c r="CM69" i="1"/>
  <c r="CJ70" i="1"/>
  <c r="CK70" i="1"/>
  <c r="CL70" i="1"/>
  <c r="CM70" i="1"/>
  <c r="CD70" i="1"/>
  <c r="BY70" i="1"/>
  <c r="BT70" i="1"/>
  <c r="BO70" i="1"/>
  <c r="BE70" i="1"/>
  <c r="AZ70" i="1"/>
  <c r="AU70" i="1"/>
  <c r="AP70" i="1"/>
  <c r="AF69" i="1"/>
  <c r="AK70" i="1"/>
  <c r="AF70" i="1"/>
  <c r="AA70" i="1"/>
  <c r="Z70" i="1"/>
  <c r="Y70" i="1"/>
  <c r="X70" i="1"/>
  <c r="W70" i="1"/>
  <c r="V70" i="1"/>
  <c r="U70" i="1"/>
  <c r="T70" i="1"/>
  <c r="S70" i="1"/>
  <c r="R70" i="1"/>
  <c r="Q70" i="1"/>
  <c r="J70" i="1"/>
  <c r="I70" i="1"/>
  <c r="J69" i="1"/>
  <c r="CN69" i="1" l="1"/>
  <c r="CS69" i="1" s="1"/>
  <c r="CI74" i="1"/>
  <c r="CN74" i="1"/>
  <c r="CS74" i="1" s="1"/>
  <c r="CN70" i="1"/>
  <c r="CS70" i="1" s="1"/>
  <c r="CN73" i="1"/>
  <c r="CS73" i="1" s="1"/>
  <c r="CI69" i="1"/>
  <c r="CI70" i="1"/>
  <c r="AA117" i="1" l="1"/>
  <c r="CR118" i="1"/>
  <c r="CQ118" i="1"/>
  <c r="CP118" i="1"/>
  <c r="CO118" i="1"/>
  <c r="CM118" i="1"/>
  <c r="CL118" i="1"/>
  <c r="CK118" i="1"/>
  <c r="CJ118" i="1"/>
  <c r="AK118" i="1"/>
  <c r="AF118" i="1"/>
  <c r="AA118" i="1"/>
  <c r="CI118" i="1" l="1"/>
  <c r="CN118" i="1"/>
  <c r="CS118" i="1" s="1"/>
  <c r="AP131" i="1" l="1"/>
  <c r="AU131" i="1"/>
  <c r="AZ131" i="1"/>
  <c r="CO26" i="1" l="1"/>
  <c r="CP26" i="1"/>
  <c r="CQ26" i="1"/>
  <c r="CR26" i="1"/>
  <c r="CD26" i="1"/>
  <c r="CJ26" i="1"/>
  <c r="CK26" i="1"/>
  <c r="CL26" i="1"/>
  <c r="CM26" i="1"/>
  <c r="BO26" i="1"/>
  <c r="BT26" i="1"/>
  <c r="BY26" i="1"/>
  <c r="AZ26" i="1"/>
  <c r="BE26" i="1"/>
  <c r="BJ26" i="1"/>
  <c r="AP26" i="1"/>
  <c r="AU26" i="1"/>
  <c r="AA26" i="1"/>
  <c r="AF26" i="1"/>
  <c r="AK26" i="1"/>
  <c r="CI26" i="1" l="1"/>
  <c r="CN26" i="1"/>
  <c r="CS26" i="1" s="1"/>
  <c r="CD121" i="1"/>
  <c r="BY121" i="1"/>
  <c r="BT121" i="1"/>
  <c r="BO121" i="1"/>
  <c r="BJ121" i="1"/>
  <c r="BE121" i="1"/>
  <c r="AZ121" i="1"/>
  <c r="AU121" i="1"/>
  <c r="AP121" i="1"/>
  <c r="R203" i="1"/>
  <c r="S203" i="1" s="1"/>
  <c r="T203" i="1" s="1"/>
  <c r="U203" i="1" s="1"/>
  <c r="V203" i="1" s="1"/>
  <c r="W203" i="1" s="1"/>
  <c r="X203" i="1" s="1"/>
  <c r="Y203" i="1" s="1"/>
  <c r="Z203" i="1" s="1"/>
  <c r="AK121" i="1" l="1"/>
  <c r="AF121" i="1"/>
  <c r="H27" i="1" l="1"/>
  <c r="I27" i="1"/>
  <c r="J27" i="1"/>
  <c r="Q27" i="1"/>
  <c r="R27" i="1"/>
  <c r="S27" i="1"/>
  <c r="T27" i="1"/>
  <c r="U27" i="1"/>
  <c r="V27" i="1"/>
  <c r="W27" i="1"/>
  <c r="X27" i="1"/>
  <c r="Y27" i="1"/>
  <c r="Z27" i="1"/>
  <c r="R26" i="1"/>
  <c r="S26" i="1"/>
  <c r="T26" i="1"/>
  <c r="U26" i="1"/>
  <c r="V26" i="1"/>
  <c r="W26" i="1"/>
  <c r="X26" i="1"/>
  <c r="Y26" i="1"/>
  <c r="Z26" i="1"/>
  <c r="Q26" i="1"/>
  <c r="J26" i="1"/>
  <c r="I26" i="1"/>
  <c r="H26" i="1"/>
  <c r="I291" i="1"/>
  <c r="AK290" i="1"/>
  <c r="CD302" i="1" l="1"/>
  <c r="AA382" i="1" l="1"/>
  <c r="CR222" i="1"/>
  <c r="CQ222" i="1"/>
  <c r="CP222" i="1"/>
  <c r="CM222" i="1"/>
  <c r="CL222" i="1"/>
  <c r="CK222" i="1"/>
  <c r="CN222" i="1"/>
  <c r="CR203" i="1"/>
  <c r="CQ203" i="1"/>
  <c r="CP203" i="1"/>
  <c r="CO203" i="1"/>
  <c r="CM203" i="1"/>
  <c r="CL203" i="1"/>
  <c r="CK203" i="1"/>
  <c r="CJ203" i="1"/>
  <c r="CR159" i="1"/>
  <c r="CI159" i="1"/>
  <c r="CJ159" i="1"/>
  <c r="CK159" i="1"/>
  <c r="CL159" i="1"/>
  <c r="CM159" i="1"/>
  <c r="CN159" i="1"/>
  <c r="CO159" i="1"/>
  <c r="CP159" i="1"/>
  <c r="CQ159" i="1"/>
  <c r="CR158" i="1"/>
  <c r="CQ158" i="1"/>
  <c r="CP158" i="1"/>
  <c r="CO158" i="1"/>
  <c r="CM158" i="1"/>
  <c r="CL158" i="1"/>
  <c r="CK158" i="1"/>
  <c r="CJ158" i="1"/>
  <c r="AF158" i="1"/>
  <c r="AA158" i="1"/>
  <c r="CS222" i="1" l="1"/>
  <c r="CS159" i="1"/>
  <c r="CN203" i="1"/>
  <c r="CI222" i="1"/>
  <c r="CI203" i="1"/>
  <c r="CN158" i="1"/>
  <c r="CS158" i="1" s="1"/>
  <c r="CI158" i="1"/>
  <c r="CS203" i="1" l="1"/>
  <c r="CN382" i="1"/>
  <c r="CO382" i="1"/>
  <c r="CP382" i="1"/>
  <c r="CQ382" i="1"/>
  <c r="CR382" i="1"/>
  <c r="CI382" i="1"/>
  <c r="CJ382" i="1"/>
  <c r="CK382" i="1"/>
  <c r="CL382" i="1"/>
  <c r="CM382" i="1"/>
  <c r="CN364" i="1"/>
  <c r="CI364" i="1"/>
  <c r="CS364" i="1" s="1"/>
  <c r="CJ364" i="1"/>
  <c r="CK364" i="1"/>
  <c r="CL364" i="1"/>
  <c r="CM364" i="1"/>
  <c r="CS382" i="1" l="1"/>
  <c r="AA55" i="1" l="1"/>
  <c r="Z373" i="1" l="1"/>
  <c r="Q373" i="1"/>
  <c r="R373" i="1"/>
  <c r="S373" i="1"/>
  <c r="T373" i="1"/>
  <c r="U373" i="1"/>
  <c r="V373" i="1"/>
  <c r="W373" i="1"/>
  <c r="X373" i="1"/>
  <c r="Y373" i="1"/>
  <c r="J373" i="1"/>
  <c r="CR224" i="1"/>
  <c r="CQ224" i="1"/>
  <c r="CP224" i="1"/>
  <c r="CM224" i="1"/>
  <c r="CL224" i="1"/>
  <c r="CK224" i="1"/>
  <c r="CJ290" i="1"/>
  <c r="CK290" i="1"/>
  <c r="CL290" i="1"/>
  <c r="CM290" i="1"/>
  <c r="CJ291" i="1"/>
  <c r="CK291" i="1"/>
  <c r="CL291" i="1"/>
  <c r="CM291" i="1"/>
  <c r="CJ293" i="1"/>
  <c r="CK293" i="1"/>
  <c r="CL293" i="1"/>
  <c r="CM293" i="1"/>
  <c r="CJ294" i="1"/>
  <c r="CK294" i="1"/>
  <c r="CL294" i="1"/>
  <c r="CM294" i="1"/>
  <c r="CR294" i="1"/>
  <c r="CQ294" i="1"/>
  <c r="CP294" i="1"/>
  <c r="CO294" i="1"/>
  <c r="CR293" i="1"/>
  <c r="CQ293" i="1"/>
  <c r="CP293" i="1"/>
  <c r="CO293" i="1"/>
  <c r="AA294" i="1"/>
  <c r="AF293" i="1"/>
  <c r="AA293" i="1"/>
  <c r="CR291" i="1"/>
  <c r="CQ291" i="1"/>
  <c r="CP291" i="1"/>
  <c r="CO291" i="1"/>
  <c r="AF291" i="1"/>
  <c r="AA291" i="1"/>
  <c r="CR379" i="1"/>
  <c r="CQ379" i="1"/>
  <c r="CP379" i="1"/>
  <c r="CO379" i="1"/>
  <c r="CM379" i="1"/>
  <c r="CL379" i="1"/>
  <c r="CK379" i="1"/>
  <c r="CJ379" i="1"/>
  <c r="CD379" i="1"/>
  <c r="BY379" i="1"/>
  <c r="BT379" i="1"/>
  <c r="BO379" i="1"/>
  <c r="BJ379" i="1"/>
  <c r="BE379" i="1"/>
  <c r="AZ379" i="1"/>
  <c r="AU379" i="1"/>
  <c r="AP379" i="1"/>
  <c r="AK379" i="1"/>
  <c r="AF379" i="1"/>
  <c r="AA379" i="1"/>
  <c r="CR125" i="1"/>
  <c r="CQ125" i="1"/>
  <c r="CP125" i="1"/>
  <c r="CO125" i="1"/>
  <c r="CM125" i="1"/>
  <c r="CL125" i="1"/>
  <c r="CK125" i="1"/>
  <c r="CJ125" i="1"/>
  <c r="CD125" i="1"/>
  <c r="BY125" i="1"/>
  <c r="BT125" i="1"/>
  <c r="BO125" i="1"/>
  <c r="BJ125" i="1"/>
  <c r="BE125" i="1"/>
  <c r="AZ125" i="1"/>
  <c r="AU125" i="1"/>
  <c r="AP125" i="1"/>
  <c r="AK125" i="1"/>
  <c r="AA125" i="1"/>
  <c r="AF125" i="1"/>
  <c r="CN294" i="1" l="1"/>
  <c r="CS294" i="1" s="1"/>
  <c r="CN125" i="1"/>
  <c r="CS125" i="1" s="1"/>
  <c r="CI293" i="1"/>
  <c r="CN224" i="1"/>
  <c r="CS224" i="1" s="1"/>
  <c r="CI291" i="1"/>
  <c r="CI294" i="1"/>
  <c r="CI224" i="1"/>
  <c r="CN293" i="1"/>
  <c r="CS293" i="1" s="1"/>
  <c r="CN291" i="1"/>
  <c r="CS291" i="1" s="1"/>
  <c r="CN379" i="1"/>
  <c r="CS379" i="1" s="1"/>
  <c r="CI125" i="1"/>
  <c r="CI379" i="1"/>
  <c r="CI33" i="1"/>
  <c r="CJ33" i="1"/>
  <c r="CK33" i="1"/>
  <c r="CL33" i="1"/>
  <c r="CM33" i="1"/>
  <c r="CN33" i="1"/>
  <c r="CO33" i="1"/>
  <c r="CP33" i="1"/>
  <c r="CQ33" i="1"/>
  <c r="CR33" i="1"/>
  <c r="CS33" i="1" l="1"/>
  <c r="CO290" i="1"/>
  <c r="CP290" i="1"/>
  <c r="CQ290" i="1"/>
  <c r="CR290" i="1"/>
  <c r="AF290" i="1"/>
  <c r="AA290" i="1"/>
  <c r="CI290" i="1" l="1"/>
  <c r="CN290" i="1"/>
  <c r="CS290" i="1" s="1"/>
  <c r="CO244" i="1"/>
  <c r="CP244" i="1"/>
  <c r="CQ244" i="1"/>
  <c r="CR244" i="1"/>
  <c r="CJ244" i="1"/>
  <c r="CK244" i="1"/>
  <c r="CL244" i="1"/>
  <c r="CM244" i="1"/>
  <c r="CI244" i="1" l="1"/>
  <c r="CN244" i="1"/>
  <c r="CS244" i="1" s="1"/>
  <c r="CR172" i="1"/>
  <c r="CQ172" i="1"/>
  <c r="CP172" i="1"/>
  <c r="CO172" i="1"/>
  <c r="CM172" i="1"/>
  <c r="CL172" i="1"/>
  <c r="CK172" i="1"/>
  <c r="CJ172" i="1"/>
  <c r="BY172" i="1"/>
  <c r="CD172" i="1"/>
  <c r="BT172" i="1"/>
  <c r="BO172" i="1"/>
  <c r="BJ172" i="1"/>
  <c r="BE172" i="1"/>
  <c r="AZ172" i="1"/>
  <c r="AU172" i="1"/>
  <c r="AP172" i="1"/>
  <c r="AK172" i="1"/>
  <c r="AF172" i="1"/>
  <c r="AA172" i="1"/>
  <c r="CJ145" i="1"/>
  <c r="CN172" i="1" l="1"/>
  <c r="CS172" i="1" s="1"/>
  <c r="CI172" i="1"/>
  <c r="CK145" i="1" l="1"/>
  <c r="CJ87" i="1" l="1"/>
  <c r="CQ223" i="1" l="1"/>
  <c r="CR223" i="1"/>
  <c r="CL223" i="1"/>
  <c r="CM223" i="1"/>
  <c r="CD223" i="1"/>
  <c r="BY223" i="1"/>
  <c r="BT223" i="1"/>
  <c r="BO223" i="1"/>
  <c r="BJ223" i="1"/>
  <c r="BE223" i="1"/>
  <c r="AZ223" i="1"/>
  <c r="AU223" i="1"/>
  <c r="AP223" i="1"/>
  <c r="CN223" i="1" l="1"/>
  <c r="CS223" i="1" s="1"/>
  <c r="CI340" i="1"/>
  <c r="CJ340" i="1"/>
  <c r="CK340" i="1"/>
  <c r="CL340" i="1"/>
  <c r="CM340" i="1"/>
  <c r="CO385" i="1" l="1"/>
  <c r="CP385" i="1"/>
  <c r="CQ385" i="1"/>
  <c r="CR385" i="1"/>
  <c r="CJ393" i="1"/>
  <c r="CK393" i="1"/>
  <c r="CL393" i="1"/>
  <c r="CM393" i="1"/>
  <c r="CJ394" i="1"/>
  <c r="CK394" i="1"/>
  <c r="CL394" i="1"/>
  <c r="CM394" i="1"/>
  <c r="CJ395" i="1"/>
  <c r="CK395" i="1"/>
  <c r="CL395" i="1"/>
  <c r="CM395" i="1"/>
  <c r="CJ396" i="1"/>
  <c r="CK396" i="1"/>
  <c r="CL396" i="1"/>
  <c r="CM396" i="1"/>
  <c r="CJ397" i="1"/>
  <c r="CK397" i="1"/>
  <c r="CL397" i="1"/>
  <c r="CM397" i="1"/>
  <c r="CJ398" i="1"/>
  <c r="CK398" i="1"/>
  <c r="CL398" i="1"/>
  <c r="CM398" i="1"/>
  <c r="CJ399" i="1"/>
  <c r="CK399" i="1"/>
  <c r="CL399" i="1"/>
  <c r="CM399" i="1"/>
  <c r="CJ400" i="1"/>
  <c r="CK400" i="1"/>
  <c r="CL400" i="1"/>
  <c r="CM400" i="1"/>
  <c r="CJ390" i="1"/>
  <c r="CK390" i="1"/>
  <c r="CL390" i="1"/>
  <c r="CM390" i="1"/>
  <c r="CI391" i="1"/>
  <c r="CJ391" i="1"/>
  <c r="CK391" i="1"/>
  <c r="CL391" i="1"/>
  <c r="CM391" i="1"/>
  <c r="CI392" i="1"/>
  <c r="CJ392" i="1"/>
  <c r="CK392" i="1"/>
  <c r="CL392" i="1"/>
  <c r="CM392" i="1"/>
  <c r="CJ387" i="1"/>
  <c r="CK387" i="1"/>
  <c r="CL387" i="1"/>
  <c r="CM387" i="1"/>
  <c r="CJ389" i="1"/>
  <c r="CK389" i="1"/>
  <c r="CL389" i="1"/>
  <c r="CM389" i="1"/>
  <c r="CJ385" i="1"/>
  <c r="CK385" i="1"/>
  <c r="CL385" i="1"/>
  <c r="CM385" i="1"/>
  <c r="CI363" i="1"/>
  <c r="CO398" i="1" l="1"/>
  <c r="CP398" i="1"/>
  <c r="CQ398" i="1"/>
  <c r="CR398" i="1"/>
  <c r="CO399" i="1"/>
  <c r="CP399" i="1"/>
  <c r="CQ399" i="1"/>
  <c r="CR399" i="1"/>
  <c r="CO400" i="1"/>
  <c r="CP400" i="1"/>
  <c r="CQ400" i="1"/>
  <c r="CR400" i="1"/>
  <c r="CO374" i="1"/>
  <c r="CP374" i="1"/>
  <c r="CQ374" i="1"/>
  <c r="CR374" i="1"/>
  <c r="CO376" i="1"/>
  <c r="CP376" i="1"/>
  <c r="CQ376" i="1"/>
  <c r="CR376" i="1"/>
  <c r="CO377" i="1"/>
  <c r="CP377" i="1"/>
  <c r="CQ377" i="1"/>
  <c r="CR377" i="1"/>
  <c r="CO378" i="1"/>
  <c r="CP378" i="1"/>
  <c r="CQ378" i="1"/>
  <c r="CR378" i="1"/>
  <c r="CO381" i="1"/>
  <c r="CP381" i="1"/>
  <c r="CQ381" i="1"/>
  <c r="CR381" i="1"/>
  <c r="CO383" i="1"/>
  <c r="CP383" i="1"/>
  <c r="CQ383" i="1"/>
  <c r="CR383" i="1"/>
  <c r="CO384" i="1"/>
  <c r="CP384" i="1"/>
  <c r="CQ384" i="1"/>
  <c r="CR384" i="1"/>
  <c r="CO387" i="1"/>
  <c r="CP387" i="1"/>
  <c r="CQ387" i="1"/>
  <c r="CR387" i="1"/>
  <c r="CO389" i="1"/>
  <c r="CP389" i="1"/>
  <c r="CQ389" i="1"/>
  <c r="CR389" i="1"/>
  <c r="CO390" i="1"/>
  <c r="CP390" i="1"/>
  <c r="CQ390" i="1"/>
  <c r="CR390" i="1"/>
  <c r="CN391" i="1"/>
  <c r="CO391" i="1"/>
  <c r="CP391" i="1"/>
  <c r="CQ391" i="1"/>
  <c r="CR391" i="1"/>
  <c r="CN392" i="1"/>
  <c r="CO392" i="1"/>
  <c r="CP392" i="1"/>
  <c r="CQ392" i="1"/>
  <c r="CR392" i="1"/>
  <c r="CO393" i="1"/>
  <c r="CP393" i="1"/>
  <c r="CQ393" i="1"/>
  <c r="CR393" i="1"/>
  <c r="CO394" i="1"/>
  <c r="CP394" i="1"/>
  <c r="CQ394" i="1"/>
  <c r="CR394" i="1"/>
  <c r="CO395" i="1"/>
  <c r="CP395" i="1"/>
  <c r="CQ395" i="1"/>
  <c r="CR395" i="1"/>
  <c r="CO396" i="1"/>
  <c r="CP396" i="1"/>
  <c r="CQ396" i="1"/>
  <c r="CR396" i="1"/>
  <c r="CO397" i="1"/>
  <c r="CP397" i="1"/>
  <c r="CQ397" i="1"/>
  <c r="CR397" i="1"/>
  <c r="CN357" i="1"/>
  <c r="CO357" i="1"/>
  <c r="CP357" i="1"/>
  <c r="CQ357" i="1"/>
  <c r="CR357" i="1"/>
  <c r="CN358" i="1"/>
  <c r="CO358" i="1"/>
  <c r="CP358" i="1"/>
  <c r="CQ358" i="1"/>
  <c r="CR358" i="1"/>
  <c r="CN359" i="1"/>
  <c r="CO359" i="1"/>
  <c r="CP359" i="1"/>
  <c r="CQ359" i="1"/>
  <c r="CR359" i="1"/>
  <c r="CN360" i="1"/>
  <c r="CO360" i="1"/>
  <c r="CP360" i="1"/>
  <c r="CQ360" i="1"/>
  <c r="CR360" i="1"/>
  <c r="CN363" i="1"/>
  <c r="CO363" i="1"/>
  <c r="CP363" i="1"/>
  <c r="CQ363" i="1"/>
  <c r="CR363" i="1"/>
  <c r="CO366" i="1"/>
  <c r="CP366" i="1"/>
  <c r="CQ366" i="1"/>
  <c r="CR366" i="1"/>
  <c r="CN367" i="1"/>
  <c r="CO367" i="1"/>
  <c r="CP367" i="1"/>
  <c r="CQ367" i="1"/>
  <c r="CR367" i="1"/>
  <c r="CN368" i="1"/>
  <c r="CO368" i="1"/>
  <c r="CP368" i="1"/>
  <c r="CQ368" i="1"/>
  <c r="CR368" i="1"/>
  <c r="CO369" i="1"/>
  <c r="CP369" i="1"/>
  <c r="CQ369" i="1"/>
  <c r="CR369" i="1"/>
  <c r="CO362" i="1"/>
  <c r="CP362" i="1"/>
  <c r="CQ362" i="1"/>
  <c r="CR362" i="1"/>
  <c r="CO370" i="1"/>
  <c r="CP370" i="1"/>
  <c r="CQ370" i="1"/>
  <c r="CR370" i="1"/>
  <c r="CO371" i="1"/>
  <c r="CP371" i="1"/>
  <c r="CQ371" i="1"/>
  <c r="CR371" i="1"/>
  <c r="CO372" i="1"/>
  <c r="CP372" i="1"/>
  <c r="CQ372" i="1"/>
  <c r="CR372" i="1"/>
  <c r="CN352" i="1"/>
  <c r="CO352" i="1"/>
  <c r="CP352" i="1"/>
  <c r="CQ352" i="1"/>
  <c r="CR352" i="1"/>
  <c r="CN354" i="1"/>
  <c r="CO354" i="1"/>
  <c r="CP354" i="1"/>
  <c r="CQ354" i="1"/>
  <c r="CR354" i="1"/>
  <c r="CO355" i="1"/>
  <c r="CP355" i="1"/>
  <c r="CQ355" i="1"/>
  <c r="CR355" i="1"/>
  <c r="CO347" i="1"/>
  <c r="CP347" i="1"/>
  <c r="CQ347" i="1"/>
  <c r="CR347" i="1"/>
  <c r="CO348" i="1"/>
  <c r="CP348" i="1"/>
  <c r="CQ348" i="1"/>
  <c r="CR348" i="1"/>
  <c r="CO349" i="1"/>
  <c r="CP349" i="1"/>
  <c r="CQ349" i="1"/>
  <c r="CR349" i="1"/>
  <c r="CN350" i="1"/>
  <c r="CO350" i="1"/>
  <c r="CP350" i="1"/>
  <c r="CQ350" i="1"/>
  <c r="CR350" i="1"/>
  <c r="CO351" i="1"/>
  <c r="CP351" i="1"/>
  <c r="CQ351" i="1"/>
  <c r="CR351" i="1"/>
  <c r="CN344" i="1"/>
  <c r="CO344" i="1"/>
  <c r="CP344" i="1"/>
  <c r="CQ344" i="1"/>
  <c r="CR344" i="1"/>
  <c r="CO346" i="1"/>
  <c r="CP346" i="1"/>
  <c r="CQ346" i="1"/>
  <c r="CR346" i="1"/>
  <c r="CN340" i="1"/>
  <c r="CO340" i="1"/>
  <c r="CP340" i="1"/>
  <c r="CQ340" i="1"/>
  <c r="CR340" i="1"/>
  <c r="CN341" i="1"/>
  <c r="CO341" i="1"/>
  <c r="CP341" i="1"/>
  <c r="CQ341" i="1"/>
  <c r="CR341" i="1"/>
  <c r="CO342" i="1"/>
  <c r="CP342" i="1"/>
  <c r="CQ342" i="1"/>
  <c r="CR342" i="1"/>
  <c r="CN333" i="1"/>
  <c r="CO333" i="1"/>
  <c r="CP333" i="1"/>
  <c r="CQ333" i="1"/>
  <c r="CR333" i="1"/>
  <c r="CN335" i="1"/>
  <c r="CO335" i="1"/>
  <c r="CP335" i="1"/>
  <c r="CQ335" i="1"/>
  <c r="CR335" i="1"/>
  <c r="CN336" i="1"/>
  <c r="CO336" i="1"/>
  <c r="CP336" i="1"/>
  <c r="CQ336" i="1"/>
  <c r="CR336" i="1"/>
  <c r="CN302" i="1"/>
  <c r="CN301" i="1" s="1"/>
  <c r="CO302" i="1"/>
  <c r="CO301" i="1" s="1"/>
  <c r="CP302" i="1"/>
  <c r="CP301" i="1" s="1"/>
  <c r="CQ302" i="1"/>
  <c r="CQ301" i="1" s="1"/>
  <c r="CR302" i="1"/>
  <c r="CR301" i="1" s="1"/>
  <c r="CN306" i="1"/>
  <c r="CO306" i="1"/>
  <c r="CP306" i="1"/>
  <c r="CQ306" i="1"/>
  <c r="CR306" i="1"/>
  <c r="CN307" i="1"/>
  <c r="CO307" i="1"/>
  <c r="CP307" i="1"/>
  <c r="CQ307" i="1"/>
  <c r="CR307" i="1"/>
  <c r="CN308" i="1"/>
  <c r="CO308" i="1"/>
  <c r="CP308" i="1"/>
  <c r="CQ308" i="1"/>
  <c r="CR308" i="1"/>
  <c r="CN309" i="1"/>
  <c r="CO309" i="1"/>
  <c r="CP309" i="1"/>
  <c r="CQ309" i="1"/>
  <c r="CR309" i="1"/>
  <c r="CN310" i="1"/>
  <c r="CO310" i="1"/>
  <c r="CP310" i="1"/>
  <c r="CQ310" i="1"/>
  <c r="CR310" i="1"/>
  <c r="CN314" i="1"/>
  <c r="CO314" i="1"/>
  <c r="CP314" i="1"/>
  <c r="CQ314" i="1"/>
  <c r="CR314" i="1"/>
  <c r="CN315" i="1"/>
  <c r="CO315" i="1"/>
  <c r="CP315" i="1"/>
  <c r="CQ315" i="1"/>
  <c r="CR315" i="1"/>
  <c r="CO318" i="1"/>
  <c r="CP318" i="1"/>
  <c r="CQ318" i="1"/>
  <c r="CR318" i="1"/>
  <c r="CO324" i="1"/>
  <c r="CP324" i="1"/>
  <c r="CQ324" i="1"/>
  <c r="CR324" i="1"/>
  <c r="CO326" i="1"/>
  <c r="CP326" i="1"/>
  <c r="CQ326" i="1"/>
  <c r="CR326" i="1"/>
  <c r="CO331" i="1"/>
  <c r="CP331" i="1"/>
  <c r="CQ331" i="1"/>
  <c r="CR331" i="1"/>
  <c r="CN297" i="1"/>
  <c r="CO297" i="1"/>
  <c r="CP297" i="1"/>
  <c r="CQ297" i="1"/>
  <c r="CR297" i="1"/>
  <c r="CN298" i="1"/>
  <c r="CO298" i="1"/>
  <c r="CP298" i="1"/>
  <c r="CQ298" i="1"/>
  <c r="CR298" i="1"/>
  <c r="CN299" i="1"/>
  <c r="CO299" i="1"/>
  <c r="CP299" i="1"/>
  <c r="CQ299" i="1"/>
  <c r="CR299" i="1"/>
  <c r="CN300" i="1"/>
  <c r="CO300" i="1"/>
  <c r="CP300" i="1"/>
  <c r="CQ300" i="1"/>
  <c r="CR300" i="1"/>
  <c r="CO279" i="1"/>
  <c r="CP279" i="1"/>
  <c r="CQ279" i="1"/>
  <c r="CR279" i="1"/>
  <c r="CO280" i="1"/>
  <c r="CP280" i="1"/>
  <c r="CQ280" i="1"/>
  <c r="CR280" i="1"/>
  <c r="CO282" i="1"/>
  <c r="CP282" i="1"/>
  <c r="CQ282" i="1"/>
  <c r="CR282" i="1"/>
  <c r="CO283" i="1"/>
  <c r="CP283" i="1"/>
  <c r="CQ283" i="1"/>
  <c r="CR283" i="1"/>
  <c r="CO284" i="1"/>
  <c r="CP284" i="1"/>
  <c r="CQ284" i="1"/>
  <c r="CR284" i="1"/>
  <c r="CO285" i="1"/>
  <c r="CP285" i="1"/>
  <c r="CQ285" i="1"/>
  <c r="CR285" i="1"/>
  <c r="CO286" i="1"/>
  <c r="CP286" i="1"/>
  <c r="CQ286" i="1"/>
  <c r="CR286" i="1"/>
  <c r="CO287" i="1"/>
  <c r="CP287" i="1"/>
  <c r="CQ287" i="1"/>
  <c r="CR287" i="1"/>
  <c r="CO288" i="1"/>
  <c r="CP288" i="1"/>
  <c r="CQ288" i="1"/>
  <c r="CR288" i="1"/>
  <c r="CO289" i="1"/>
  <c r="CP289" i="1"/>
  <c r="CQ289" i="1"/>
  <c r="CR289" i="1"/>
  <c r="CO275" i="1"/>
  <c r="CP275" i="1"/>
  <c r="CQ275" i="1"/>
  <c r="CR275" i="1"/>
  <c r="CO277" i="1"/>
  <c r="CP277" i="1"/>
  <c r="CP276" i="1" s="1"/>
  <c r="CQ277" i="1"/>
  <c r="CQ276" i="1" s="1"/>
  <c r="CR277" i="1"/>
  <c r="CO270" i="1"/>
  <c r="CP270" i="1"/>
  <c r="CQ270" i="1"/>
  <c r="CR270" i="1"/>
  <c r="CO271" i="1"/>
  <c r="CP271" i="1"/>
  <c r="CQ271" i="1"/>
  <c r="CR271" i="1"/>
  <c r="CO272" i="1"/>
  <c r="CP272" i="1"/>
  <c r="CQ272" i="1"/>
  <c r="CR272" i="1"/>
  <c r="CO273" i="1"/>
  <c r="CP273" i="1"/>
  <c r="CQ273" i="1"/>
  <c r="CR273" i="1"/>
  <c r="CO274" i="1"/>
  <c r="CP274" i="1"/>
  <c r="CQ274" i="1"/>
  <c r="CR274" i="1"/>
  <c r="CN262" i="1"/>
  <c r="CO262" i="1"/>
  <c r="CP262" i="1"/>
  <c r="CQ262" i="1"/>
  <c r="CR262" i="1"/>
  <c r="CN256" i="1"/>
  <c r="CO256" i="1"/>
  <c r="CP256" i="1"/>
  <c r="CQ256" i="1"/>
  <c r="CR256" i="1"/>
  <c r="CO237" i="1"/>
  <c r="CP237" i="1"/>
  <c r="CQ237" i="1"/>
  <c r="CR237" i="1"/>
  <c r="CO264" i="1"/>
  <c r="CP264" i="1"/>
  <c r="CQ264" i="1"/>
  <c r="CR264" i="1"/>
  <c r="CO265" i="1"/>
  <c r="CP265" i="1"/>
  <c r="CQ265" i="1"/>
  <c r="CR265" i="1"/>
  <c r="CO266" i="1"/>
  <c r="CP266" i="1"/>
  <c r="CQ266" i="1"/>
  <c r="CR266" i="1"/>
  <c r="CO267" i="1"/>
  <c r="CP267" i="1"/>
  <c r="CQ267" i="1"/>
  <c r="CR267" i="1"/>
  <c r="CO268" i="1"/>
  <c r="CP268" i="1"/>
  <c r="CQ268" i="1"/>
  <c r="CR268" i="1"/>
  <c r="CO269" i="1"/>
  <c r="CP269" i="1"/>
  <c r="CQ269" i="1"/>
  <c r="CR269" i="1"/>
  <c r="CO235" i="1"/>
  <c r="CP235" i="1"/>
  <c r="CQ235" i="1"/>
  <c r="CR235" i="1"/>
  <c r="CO238" i="1"/>
  <c r="CP238" i="1"/>
  <c r="CQ238" i="1"/>
  <c r="CR238" i="1"/>
  <c r="CO239" i="1"/>
  <c r="CP239" i="1"/>
  <c r="CQ239" i="1"/>
  <c r="CR239" i="1"/>
  <c r="CO240" i="1"/>
  <c r="CP240" i="1"/>
  <c r="CQ240" i="1"/>
  <c r="CR240" i="1"/>
  <c r="CO241" i="1"/>
  <c r="CP241" i="1"/>
  <c r="CQ241" i="1"/>
  <c r="CR241" i="1"/>
  <c r="CO242" i="1"/>
  <c r="CP242" i="1"/>
  <c r="CQ242" i="1"/>
  <c r="CR242" i="1"/>
  <c r="CO243" i="1"/>
  <c r="CP243" i="1"/>
  <c r="CQ243" i="1"/>
  <c r="CR243" i="1"/>
  <c r="CN247" i="1"/>
  <c r="CO247" i="1"/>
  <c r="CP247" i="1"/>
  <c r="CQ247" i="1"/>
  <c r="CR247" i="1"/>
  <c r="CO248" i="1"/>
  <c r="CP248" i="1"/>
  <c r="CQ248" i="1"/>
  <c r="CR248" i="1"/>
  <c r="CO249" i="1"/>
  <c r="CP249" i="1"/>
  <c r="CQ249" i="1"/>
  <c r="CR249" i="1"/>
  <c r="CO250" i="1"/>
  <c r="CP250" i="1"/>
  <c r="CQ250" i="1"/>
  <c r="CR250" i="1"/>
  <c r="CO251" i="1"/>
  <c r="CP251" i="1"/>
  <c r="CQ251" i="1"/>
  <c r="CR251" i="1"/>
  <c r="CO252" i="1"/>
  <c r="CP252" i="1"/>
  <c r="CQ252" i="1"/>
  <c r="CR252" i="1"/>
  <c r="CP253" i="1"/>
  <c r="CQ253" i="1"/>
  <c r="CR253" i="1"/>
  <c r="CO254" i="1"/>
  <c r="CP254" i="1"/>
  <c r="CQ254" i="1"/>
  <c r="CR254" i="1"/>
  <c r="CO257" i="1"/>
  <c r="CP257" i="1"/>
  <c r="CQ257" i="1"/>
  <c r="CR257" i="1"/>
  <c r="CN255" i="1"/>
  <c r="CO255" i="1"/>
  <c r="CP255" i="1"/>
  <c r="CQ255" i="1"/>
  <c r="CR255" i="1"/>
  <c r="CN259" i="1"/>
  <c r="CO259" i="1"/>
  <c r="CP259" i="1"/>
  <c r="CQ259" i="1"/>
  <c r="CR259" i="1"/>
  <c r="CN258" i="1"/>
  <c r="CO258" i="1"/>
  <c r="CP258" i="1"/>
  <c r="CQ258" i="1"/>
  <c r="CR258" i="1"/>
  <c r="CN260" i="1"/>
  <c r="CO260" i="1"/>
  <c r="CP260" i="1"/>
  <c r="CQ260" i="1"/>
  <c r="CR260" i="1"/>
  <c r="CN261" i="1"/>
  <c r="CO261" i="1"/>
  <c r="CP261" i="1"/>
  <c r="CQ261" i="1"/>
  <c r="CR261" i="1"/>
  <c r="CN228" i="1"/>
  <c r="CO228" i="1"/>
  <c r="CP228" i="1"/>
  <c r="CQ228" i="1"/>
  <c r="CR228" i="1"/>
  <c r="CN229" i="1"/>
  <c r="CO229" i="1"/>
  <c r="CP229" i="1"/>
  <c r="CQ229" i="1"/>
  <c r="CR229" i="1"/>
  <c r="CN230" i="1"/>
  <c r="CO230" i="1"/>
  <c r="CP230" i="1"/>
  <c r="CQ230" i="1"/>
  <c r="CR230" i="1"/>
  <c r="CO231" i="1"/>
  <c r="CP231" i="1"/>
  <c r="CQ231" i="1"/>
  <c r="CR231" i="1"/>
  <c r="CO233" i="1"/>
  <c r="CP233" i="1"/>
  <c r="CQ233" i="1"/>
  <c r="CR233" i="1"/>
  <c r="CO234" i="1"/>
  <c r="CP234" i="1"/>
  <c r="CQ234" i="1"/>
  <c r="CR234" i="1"/>
  <c r="CN215" i="1"/>
  <c r="CP215" i="1"/>
  <c r="CQ215" i="1"/>
  <c r="CR215" i="1"/>
  <c r="CN216" i="1"/>
  <c r="CP216" i="1"/>
  <c r="CQ216" i="1"/>
  <c r="CR216" i="1"/>
  <c r="CN217" i="1"/>
  <c r="CP217" i="1"/>
  <c r="CQ217" i="1"/>
  <c r="CR217" i="1"/>
  <c r="CN218" i="1"/>
  <c r="CP218" i="1"/>
  <c r="CQ218" i="1"/>
  <c r="CR218" i="1"/>
  <c r="CN219" i="1"/>
  <c r="CP219" i="1"/>
  <c r="CQ219" i="1"/>
  <c r="CR219" i="1"/>
  <c r="CN220" i="1"/>
  <c r="CP220" i="1"/>
  <c r="CQ220" i="1"/>
  <c r="CR220" i="1"/>
  <c r="CN221" i="1"/>
  <c r="CO221" i="1"/>
  <c r="CP221" i="1"/>
  <c r="CQ221" i="1"/>
  <c r="CR221" i="1"/>
  <c r="CO227" i="1"/>
  <c r="CP227" i="1"/>
  <c r="CQ227" i="1"/>
  <c r="CR227" i="1"/>
  <c r="CN211" i="1"/>
  <c r="CP211" i="1"/>
  <c r="CQ211" i="1"/>
  <c r="CR211" i="1"/>
  <c r="CO212" i="1"/>
  <c r="CP212" i="1"/>
  <c r="CQ212" i="1"/>
  <c r="CR212" i="1"/>
  <c r="CN213" i="1"/>
  <c r="CP213" i="1"/>
  <c r="CQ213" i="1"/>
  <c r="CR213" i="1"/>
  <c r="CN214" i="1"/>
  <c r="CP214" i="1"/>
  <c r="CQ214" i="1"/>
  <c r="CR214" i="1"/>
  <c r="CN207" i="1"/>
  <c r="CO207" i="1"/>
  <c r="CP207" i="1"/>
  <c r="CQ207" i="1"/>
  <c r="CR207" i="1"/>
  <c r="CN208" i="1"/>
  <c r="CP208" i="1"/>
  <c r="CQ208" i="1"/>
  <c r="CR208" i="1"/>
  <c r="CN209" i="1"/>
  <c r="CP209" i="1"/>
  <c r="CQ209" i="1"/>
  <c r="CR209" i="1"/>
  <c r="CN210" i="1"/>
  <c r="CP210" i="1"/>
  <c r="CQ210" i="1"/>
  <c r="CR210" i="1"/>
  <c r="CN205" i="1"/>
  <c r="CO205" i="1"/>
  <c r="CP205" i="1"/>
  <c r="CQ205" i="1"/>
  <c r="CR205" i="1"/>
  <c r="CN206" i="1"/>
  <c r="CO206" i="1"/>
  <c r="CP206" i="1"/>
  <c r="CQ206" i="1"/>
  <c r="CR206" i="1"/>
  <c r="CO197" i="1"/>
  <c r="CP197" i="1"/>
  <c r="CQ197" i="1"/>
  <c r="CR197" i="1"/>
  <c r="CO196" i="1"/>
  <c r="CP196" i="1"/>
  <c r="CQ196" i="1"/>
  <c r="CR196" i="1"/>
  <c r="CO188" i="1"/>
  <c r="CP188" i="1"/>
  <c r="CQ188" i="1"/>
  <c r="CR188" i="1"/>
  <c r="CO189" i="1"/>
  <c r="CP189" i="1"/>
  <c r="CQ189" i="1"/>
  <c r="CR189" i="1"/>
  <c r="CO190" i="1"/>
  <c r="CP190" i="1"/>
  <c r="CQ190" i="1"/>
  <c r="CR190" i="1"/>
  <c r="CO191" i="1"/>
  <c r="CP191" i="1"/>
  <c r="CQ191" i="1"/>
  <c r="CR191" i="1"/>
  <c r="CO192" i="1"/>
  <c r="CP192" i="1"/>
  <c r="CQ192" i="1"/>
  <c r="CR192" i="1"/>
  <c r="CO195" i="1"/>
  <c r="CO194" i="1" s="1"/>
  <c r="CP195" i="1"/>
  <c r="CP194" i="1" s="1"/>
  <c r="CQ195" i="1"/>
  <c r="CQ194" i="1" s="1"/>
  <c r="CR195" i="1"/>
  <c r="CR194" i="1" s="1"/>
  <c r="CO178" i="1"/>
  <c r="CP178" i="1"/>
  <c r="CQ178" i="1"/>
  <c r="CR178" i="1"/>
  <c r="CO179" i="1"/>
  <c r="CP179" i="1"/>
  <c r="CQ179" i="1"/>
  <c r="CR179" i="1"/>
  <c r="CN180" i="1"/>
  <c r="CO180" i="1"/>
  <c r="CP180" i="1"/>
  <c r="CQ180" i="1"/>
  <c r="CR180" i="1"/>
  <c r="CN181" i="1"/>
  <c r="CO181" i="1"/>
  <c r="CP181" i="1"/>
  <c r="CQ181" i="1"/>
  <c r="CR181" i="1"/>
  <c r="CN182" i="1"/>
  <c r="CO182" i="1"/>
  <c r="CP182" i="1"/>
  <c r="CQ182" i="1"/>
  <c r="CR182" i="1"/>
  <c r="CN183" i="1"/>
  <c r="CO183" i="1"/>
  <c r="CP183" i="1"/>
  <c r="CQ183" i="1"/>
  <c r="CR183" i="1"/>
  <c r="CN184" i="1"/>
  <c r="CO184" i="1"/>
  <c r="CP184" i="1"/>
  <c r="CQ184" i="1"/>
  <c r="CR184" i="1"/>
  <c r="CN185" i="1"/>
  <c r="CO185" i="1"/>
  <c r="CP185" i="1"/>
  <c r="CQ185" i="1"/>
  <c r="CR185" i="1"/>
  <c r="CN186" i="1"/>
  <c r="CO186" i="1"/>
  <c r="CP186" i="1"/>
  <c r="CQ186" i="1"/>
  <c r="CR186" i="1"/>
  <c r="CN187" i="1"/>
  <c r="CO187" i="1"/>
  <c r="CP187" i="1"/>
  <c r="CQ187" i="1"/>
  <c r="CR187" i="1"/>
  <c r="CO168" i="1"/>
  <c r="CP168" i="1"/>
  <c r="CQ168" i="1"/>
  <c r="CR168" i="1"/>
  <c r="CO169" i="1"/>
  <c r="CP169" i="1"/>
  <c r="CQ169" i="1"/>
  <c r="CR169" i="1"/>
  <c r="CO170" i="1"/>
  <c r="CP170" i="1"/>
  <c r="CQ170" i="1"/>
  <c r="CR170" i="1"/>
  <c r="CO171" i="1"/>
  <c r="CP171" i="1"/>
  <c r="CQ171" i="1"/>
  <c r="CR171" i="1"/>
  <c r="CO176" i="1"/>
  <c r="CP176" i="1"/>
  <c r="CQ176" i="1"/>
  <c r="CR176" i="1"/>
  <c r="CO166" i="1"/>
  <c r="CP166" i="1"/>
  <c r="CQ166" i="1"/>
  <c r="CR166" i="1"/>
  <c r="CO167" i="1"/>
  <c r="CP167" i="1"/>
  <c r="CQ167" i="1"/>
  <c r="CR167" i="1"/>
  <c r="CO164" i="1"/>
  <c r="CP164" i="1"/>
  <c r="CQ164" i="1"/>
  <c r="CR164" i="1"/>
  <c r="CO165" i="1"/>
  <c r="CP165" i="1"/>
  <c r="CQ165" i="1"/>
  <c r="CR165" i="1"/>
  <c r="CO157" i="1"/>
  <c r="CP157" i="1"/>
  <c r="CQ157" i="1"/>
  <c r="CR157" i="1"/>
  <c r="CO154" i="1"/>
  <c r="CP154" i="1"/>
  <c r="CQ154" i="1"/>
  <c r="CR154" i="1"/>
  <c r="CO161" i="1"/>
  <c r="CO160" i="1" s="1"/>
  <c r="CP161" i="1"/>
  <c r="CQ161" i="1"/>
  <c r="CR161" i="1"/>
  <c r="CN150" i="1"/>
  <c r="CO150" i="1"/>
  <c r="CP150" i="1"/>
  <c r="CQ150" i="1"/>
  <c r="CR150" i="1"/>
  <c r="CN151" i="1"/>
  <c r="CO151" i="1"/>
  <c r="CP151" i="1"/>
  <c r="CQ151" i="1"/>
  <c r="CR151" i="1"/>
  <c r="CN153" i="1"/>
  <c r="CO153" i="1"/>
  <c r="CP153" i="1"/>
  <c r="CQ153" i="1"/>
  <c r="CR153" i="1"/>
  <c r="CO145" i="1"/>
  <c r="CO144" i="1" s="1"/>
  <c r="CP145" i="1"/>
  <c r="CP144" i="1" s="1"/>
  <c r="CQ145" i="1"/>
  <c r="CQ144" i="1" s="1"/>
  <c r="CR145" i="1"/>
  <c r="CR144" i="1" s="1"/>
  <c r="CN148" i="1"/>
  <c r="CO148" i="1"/>
  <c r="CP148" i="1"/>
  <c r="CQ148" i="1"/>
  <c r="CR148" i="1"/>
  <c r="CN149" i="1"/>
  <c r="CO149" i="1"/>
  <c r="CP149" i="1"/>
  <c r="CQ149" i="1"/>
  <c r="CR149" i="1"/>
  <c r="CO137" i="1"/>
  <c r="CP137" i="1"/>
  <c r="CQ137" i="1"/>
  <c r="CR137" i="1"/>
  <c r="CO138" i="1"/>
  <c r="CP138" i="1"/>
  <c r="CQ138" i="1"/>
  <c r="CR138" i="1"/>
  <c r="CO142" i="1"/>
  <c r="CP142" i="1"/>
  <c r="CQ142" i="1"/>
  <c r="CR142" i="1"/>
  <c r="CO143" i="1"/>
  <c r="CP143" i="1"/>
  <c r="CQ143" i="1"/>
  <c r="CR143" i="1"/>
  <c r="CO131" i="1"/>
  <c r="CO130" i="1" s="1"/>
  <c r="CP131" i="1"/>
  <c r="CP130" i="1" s="1"/>
  <c r="CQ131" i="1"/>
  <c r="CQ130" i="1" s="1"/>
  <c r="CR131" i="1"/>
  <c r="CR130" i="1" s="1"/>
  <c r="CO134" i="1"/>
  <c r="CP134" i="1"/>
  <c r="CQ134" i="1"/>
  <c r="CR134" i="1"/>
  <c r="CO135" i="1"/>
  <c r="CP135" i="1"/>
  <c r="CQ135" i="1"/>
  <c r="CR135" i="1"/>
  <c r="CO124" i="1"/>
  <c r="CP124" i="1"/>
  <c r="CQ124" i="1"/>
  <c r="CR124" i="1"/>
  <c r="CO128" i="1"/>
  <c r="CP128" i="1"/>
  <c r="CQ128" i="1"/>
  <c r="CR128" i="1"/>
  <c r="CP129" i="1"/>
  <c r="CQ129" i="1"/>
  <c r="CR129" i="1"/>
  <c r="CO121" i="1"/>
  <c r="CP121" i="1"/>
  <c r="CQ121" i="1"/>
  <c r="CR121" i="1"/>
  <c r="CN123" i="1"/>
  <c r="CO123" i="1"/>
  <c r="CP123" i="1"/>
  <c r="CQ123" i="1"/>
  <c r="CR123" i="1"/>
  <c r="CO119" i="1"/>
  <c r="CP119" i="1"/>
  <c r="CQ119" i="1"/>
  <c r="CR119" i="1"/>
  <c r="CO115" i="1"/>
  <c r="CP115" i="1"/>
  <c r="CQ115" i="1"/>
  <c r="CR115" i="1"/>
  <c r="CO117" i="1"/>
  <c r="CO116" i="1" s="1"/>
  <c r="CP117" i="1"/>
  <c r="CP116" i="1" s="1"/>
  <c r="CQ117" i="1"/>
  <c r="CR117" i="1"/>
  <c r="CR116" i="1" s="1"/>
  <c r="CN109" i="1"/>
  <c r="CO109" i="1"/>
  <c r="CP109" i="1"/>
  <c r="CQ109" i="1"/>
  <c r="CR109" i="1"/>
  <c r="CO110" i="1"/>
  <c r="CP110" i="1"/>
  <c r="CQ110" i="1"/>
  <c r="CR110" i="1"/>
  <c r="CO113" i="1"/>
  <c r="CP113" i="1"/>
  <c r="CQ113" i="1"/>
  <c r="CR113" i="1"/>
  <c r="CO114" i="1"/>
  <c r="CP114" i="1"/>
  <c r="CQ114" i="1"/>
  <c r="CR114" i="1"/>
  <c r="CN101" i="1"/>
  <c r="CO101" i="1"/>
  <c r="CP101" i="1"/>
  <c r="CQ101" i="1"/>
  <c r="CR101" i="1"/>
  <c r="CO103" i="1"/>
  <c r="CP103" i="1"/>
  <c r="CQ103" i="1"/>
  <c r="CR103" i="1"/>
  <c r="CO105" i="1"/>
  <c r="CP105" i="1"/>
  <c r="CQ105" i="1"/>
  <c r="CR105" i="1"/>
  <c r="CN106" i="1"/>
  <c r="CO106" i="1"/>
  <c r="CP106" i="1"/>
  <c r="CQ106" i="1"/>
  <c r="CR106" i="1"/>
  <c r="CN107" i="1"/>
  <c r="CO107" i="1"/>
  <c r="CP107" i="1"/>
  <c r="CQ107" i="1"/>
  <c r="CR107" i="1"/>
  <c r="CN108" i="1"/>
  <c r="CO108" i="1"/>
  <c r="CP108" i="1"/>
  <c r="CQ108" i="1"/>
  <c r="CR108" i="1"/>
  <c r="CO87" i="1"/>
  <c r="CP87" i="1"/>
  <c r="CQ87" i="1"/>
  <c r="CR87" i="1"/>
  <c r="CO95" i="1"/>
  <c r="CP95" i="1"/>
  <c r="CQ95" i="1"/>
  <c r="CR95" i="1"/>
  <c r="CO76" i="1"/>
  <c r="CP76" i="1"/>
  <c r="CQ76" i="1"/>
  <c r="CR76" i="1"/>
  <c r="CO77" i="1"/>
  <c r="CP77" i="1"/>
  <c r="CQ77" i="1"/>
  <c r="CR77" i="1"/>
  <c r="CO78" i="1"/>
  <c r="CP78" i="1"/>
  <c r="CQ78" i="1"/>
  <c r="CR78" i="1"/>
  <c r="CO380" i="1"/>
  <c r="CP380" i="1"/>
  <c r="CQ380" i="1"/>
  <c r="CR380" i="1"/>
  <c r="CO79" i="1"/>
  <c r="CP79" i="1"/>
  <c r="CQ79" i="1"/>
  <c r="CR79" i="1"/>
  <c r="CO80" i="1"/>
  <c r="CP80" i="1"/>
  <c r="CQ80" i="1"/>
  <c r="CR80" i="1"/>
  <c r="CO81" i="1"/>
  <c r="CP81" i="1"/>
  <c r="CQ81" i="1"/>
  <c r="CR81" i="1"/>
  <c r="CO82" i="1"/>
  <c r="CP82" i="1"/>
  <c r="CQ82" i="1"/>
  <c r="CR82" i="1"/>
  <c r="CO84" i="1"/>
  <c r="CP84" i="1"/>
  <c r="CQ84" i="1"/>
  <c r="CR84" i="1"/>
  <c r="CO86" i="1"/>
  <c r="CP86" i="1"/>
  <c r="CQ86" i="1"/>
  <c r="CR86" i="1"/>
  <c r="CO35" i="1"/>
  <c r="CP35" i="1"/>
  <c r="CQ35" i="1"/>
  <c r="CR35" i="1"/>
  <c r="CO36" i="1"/>
  <c r="CP36" i="1"/>
  <c r="CQ36" i="1"/>
  <c r="CR36" i="1"/>
  <c r="CN38" i="1"/>
  <c r="CO38" i="1"/>
  <c r="CP38" i="1"/>
  <c r="CQ38" i="1"/>
  <c r="CR38" i="1"/>
  <c r="CN40" i="1"/>
  <c r="CO40" i="1"/>
  <c r="CP40" i="1"/>
  <c r="CQ40" i="1"/>
  <c r="CR40" i="1"/>
  <c r="CN41" i="1"/>
  <c r="CO41" i="1"/>
  <c r="CP41" i="1"/>
  <c r="CQ41" i="1"/>
  <c r="CR41" i="1"/>
  <c r="CN42" i="1"/>
  <c r="CO42" i="1"/>
  <c r="CP42" i="1"/>
  <c r="CQ42" i="1"/>
  <c r="CR42" i="1"/>
  <c r="CN43" i="1"/>
  <c r="CO43" i="1"/>
  <c r="CP43" i="1"/>
  <c r="CQ43" i="1"/>
  <c r="CR43" i="1"/>
  <c r="CN44" i="1"/>
  <c r="CO44" i="1"/>
  <c r="CP44" i="1"/>
  <c r="CQ44" i="1"/>
  <c r="CR44" i="1"/>
  <c r="CN45" i="1"/>
  <c r="CO45" i="1"/>
  <c r="CP45" i="1"/>
  <c r="CQ45" i="1"/>
  <c r="CR45" i="1"/>
  <c r="CN46" i="1"/>
  <c r="CO46" i="1"/>
  <c r="CP46" i="1"/>
  <c r="CQ46" i="1"/>
  <c r="CR46" i="1"/>
  <c r="CN47" i="1"/>
  <c r="CO47" i="1"/>
  <c r="CP47" i="1"/>
  <c r="CQ47" i="1"/>
  <c r="CR47" i="1"/>
  <c r="CN48" i="1"/>
  <c r="CO48" i="1"/>
  <c r="CP48" i="1"/>
  <c r="CQ48" i="1"/>
  <c r="CR48" i="1"/>
  <c r="CN49" i="1"/>
  <c r="CO49" i="1"/>
  <c r="CP49" i="1"/>
  <c r="CQ49" i="1"/>
  <c r="CR49" i="1"/>
  <c r="CN50" i="1"/>
  <c r="CO50" i="1"/>
  <c r="CP50" i="1"/>
  <c r="CQ50" i="1"/>
  <c r="CR50" i="1"/>
  <c r="CN51" i="1"/>
  <c r="CO51" i="1"/>
  <c r="CP51" i="1"/>
  <c r="CQ51" i="1"/>
  <c r="CR51" i="1"/>
  <c r="CN52" i="1"/>
  <c r="CO52" i="1"/>
  <c r="CP52" i="1"/>
  <c r="CQ52" i="1"/>
  <c r="CR52" i="1"/>
  <c r="CN53" i="1"/>
  <c r="CO53" i="1"/>
  <c r="CP53" i="1"/>
  <c r="CQ53" i="1"/>
  <c r="CR53" i="1"/>
  <c r="CN54" i="1"/>
  <c r="CO54" i="1"/>
  <c r="CP54" i="1"/>
  <c r="CQ54" i="1"/>
  <c r="CR54" i="1"/>
  <c r="CO55" i="1"/>
  <c r="CP55" i="1"/>
  <c r="CQ55" i="1"/>
  <c r="CR55" i="1"/>
  <c r="CN56" i="1"/>
  <c r="CO56" i="1"/>
  <c r="CP56" i="1"/>
  <c r="CQ56" i="1"/>
  <c r="CR56" i="1"/>
  <c r="CN57" i="1"/>
  <c r="CO57" i="1"/>
  <c r="CP57" i="1"/>
  <c r="CQ57" i="1"/>
  <c r="CR57" i="1"/>
  <c r="CN58" i="1"/>
  <c r="CO58" i="1"/>
  <c r="CP58" i="1"/>
  <c r="CQ58" i="1"/>
  <c r="CR58" i="1"/>
  <c r="CO60" i="1"/>
  <c r="CP60" i="1"/>
  <c r="CQ60" i="1"/>
  <c r="CR60" i="1"/>
  <c r="CO61" i="1"/>
  <c r="CP61" i="1"/>
  <c r="CQ61" i="1"/>
  <c r="CR61" i="1"/>
  <c r="CO62" i="1"/>
  <c r="CP62" i="1"/>
  <c r="CQ62" i="1"/>
  <c r="CR62" i="1"/>
  <c r="CO63" i="1"/>
  <c r="CP63" i="1"/>
  <c r="CQ63" i="1"/>
  <c r="CR63" i="1"/>
  <c r="CO66" i="1"/>
  <c r="CP66" i="1"/>
  <c r="CQ66" i="1"/>
  <c r="CR66" i="1"/>
  <c r="CO71" i="1"/>
  <c r="CP71" i="1"/>
  <c r="CQ71" i="1"/>
  <c r="CR71" i="1"/>
  <c r="CO25" i="1"/>
  <c r="CP25" i="1"/>
  <c r="CQ25" i="1"/>
  <c r="CR25" i="1"/>
  <c r="CO32" i="1"/>
  <c r="CP32" i="1"/>
  <c r="CQ32" i="1"/>
  <c r="CR32" i="1"/>
  <c r="CO34" i="1"/>
  <c r="CP34" i="1"/>
  <c r="CQ34" i="1"/>
  <c r="CR34" i="1"/>
  <c r="CO16" i="1"/>
  <c r="CP16" i="1"/>
  <c r="CQ16" i="1"/>
  <c r="CR16" i="1"/>
  <c r="CO20" i="1"/>
  <c r="CP20" i="1"/>
  <c r="CQ20" i="1"/>
  <c r="CR20" i="1"/>
  <c r="CO17" i="1"/>
  <c r="CP17" i="1"/>
  <c r="CQ17" i="1"/>
  <c r="CR17" i="1"/>
  <c r="CO18" i="1"/>
  <c r="CP18" i="1"/>
  <c r="CQ18" i="1"/>
  <c r="CR18" i="1"/>
  <c r="CO19" i="1"/>
  <c r="CP19" i="1"/>
  <c r="CQ19" i="1"/>
  <c r="CR19" i="1"/>
  <c r="CO21" i="1"/>
  <c r="CP21" i="1"/>
  <c r="CQ21" i="1"/>
  <c r="CR21" i="1"/>
  <c r="CN22" i="1"/>
  <c r="CO22" i="1"/>
  <c r="CP22" i="1"/>
  <c r="CQ22" i="1"/>
  <c r="CR22" i="1"/>
  <c r="CO23" i="1"/>
  <c r="CP23" i="1"/>
  <c r="CQ23" i="1"/>
  <c r="CR23" i="1"/>
  <c r="CO24" i="1"/>
  <c r="CP24" i="1"/>
  <c r="CQ24" i="1"/>
  <c r="CR24" i="1"/>
  <c r="CO15" i="1"/>
  <c r="CP15" i="1"/>
  <c r="CQ15" i="1"/>
  <c r="CR15" i="1"/>
  <c r="CR160" i="1" l="1"/>
  <c r="CQ116" i="1"/>
  <c r="CP160" i="1"/>
  <c r="CO276" i="1"/>
  <c r="CQ127" i="1"/>
  <c r="CQ160" i="1"/>
  <c r="CR276" i="1"/>
  <c r="CP127" i="1"/>
  <c r="CP13" i="1"/>
  <c r="CP89" i="1"/>
  <c r="CO104" i="1"/>
  <c r="CR120" i="1"/>
  <c r="CR147" i="1"/>
  <c r="CN147" i="1"/>
  <c r="CO152" i="1"/>
  <c r="CR175" i="1"/>
  <c r="CR174" i="1" s="1"/>
  <c r="CO198" i="1"/>
  <c r="CO193" i="1" s="1"/>
  <c r="CQ226" i="1"/>
  <c r="CO296" i="1"/>
  <c r="CO295" i="1" s="1"/>
  <c r="CQ313" i="1"/>
  <c r="CQ345" i="1"/>
  <c r="CO356" i="1"/>
  <c r="CQ65" i="1"/>
  <c r="CP83" i="1"/>
  <c r="CP112" i="1"/>
  <c r="CQ133" i="1"/>
  <c r="CP75" i="1"/>
  <c r="CQ141" i="1"/>
  <c r="CQ246" i="1"/>
  <c r="CR263" i="1"/>
  <c r="CP317" i="1"/>
  <c r="CR305" i="1"/>
  <c r="CN305" i="1"/>
  <c r="CO353" i="1"/>
  <c r="CQ361" i="1"/>
  <c r="CP65" i="1"/>
  <c r="CO83" i="1"/>
  <c r="CO75" i="1"/>
  <c r="CO89" i="1"/>
  <c r="CR104" i="1"/>
  <c r="CO112" i="1"/>
  <c r="CQ120" i="1"/>
  <c r="CP133" i="1"/>
  <c r="CP141" i="1"/>
  <c r="CQ147" i="1"/>
  <c r="CR152" i="1"/>
  <c r="CQ175" i="1"/>
  <c r="CQ174" i="1" s="1"/>
  <c r="CR198" i="1"/>
  <c r="CR193" i="1" s="1"/>
  <c r="CP226" i="1"/>
  <c r="CP246" i="1"/>
  <c r="CQ263" i="1"/>
  <c r="CR296" i="1"/>
  <c r="CR295" i="1" s="1"/>
  <c r="CN296" i="1"/>
  <c r="CN295" i="1" s="1"/>
  <c r="CO317" i="1"/>
  <c r="CP313" i="1"/>
  <c r="CQ305" i="1"/>
  <c r="CQ304" i="1" s="1"/>
  <c r="CP345" i="1"/>
  <c r="CR353" i="1"/>
  <c r="CP361" i="1"/>
  <c r="CR356" i="1"/>
  <c r="CN356" i="1"/>
  <c r="CO65" i="1"/>
  <c r="CR83" i="1"/>
  <c r="CR75" i="1"/>
  <c r="CR89" i="1"/>
  <c r="CQ104" i="1"/>
  <c r="CR112" i="1"/>
  <c r="CP120" i="1"/>
  <c r="CO133" i="1"/>
  <c r="CO141" i="1"/>
  <c r="CP147" i="1"/>
  <c r="CQ152" i="1"/>
  <c r="CP175" i="1"/>
  <c r="CP174" i="1" s="1"/>
  <c r="CQ198" i="1"/>
  <c r="CQ193" i="1" s="1"/>
  <c r="CO226" i="1"/>
  <c r="CP263" i="1"/>
  <c r="CQ296" i="1"/>
  <c r="CQ295" i="1" s="1"/>
  <c r="CR317" i="1"/>
  <c r="CO313" i="1"/>
  <c r="CP305" i="1"/>
  <c r="CO345" i="1"/>
  <c r="CQ353" i="1"/>
  <c r="CO361" i="1"/>
  <c r="CQ356" i="1"/>
  <c r="CR65" i="1"/>
  <c r="CQ83" i="1"/>
  <c r="CQ75" i="1"/>
  <c r="CQ89" i="1"/>
  <c r="CP104" i="1"/>
  <c r="CQ112" i="1"/>
  <c r="CQ111" i="1" s="1"/>
  <c r="CO120" i="1"/>
  <c r="CR127" i="1"/>
  <c r="CR133" i="1"/>
  <c r="CR141" i="1"/>
  <c r="CO147" i="1"/>
  <c r="CP152" i="1"/>
  <c r="CO175" i="1"/>
  <c r="CO174" i="1" s="1"/>
  <c r="CP198" i="1"/>
  <c r="CP193" i="1" s="1"/>
  <c r="CR226" i="1"/>
  <c r="CR246" i="1"/>
  <c r="CO263" i="1"/>
  <c r="CP296" i="1"/>
  <c r="CP295" i="1" s="1"/>
  <c r="CQ317" i="1"/>
  <c r="CR313" i="1"/>
  <c r="CN313" i="1"/>
  <c r="CO305" i="1"/>
  <c r="CR345" i="1"/>
  <c r="CP353" i="1"/>
  <c r="CR361" i="1"/>
  <c r="CP356" i="1"/>
  <c r="CO13" i="1"/>
  <c r="CP59" i="1"/>
  <c r="CR13" i="1"/>
  <c r="CO59" i="1"/>
  <c r="CQ59" i="1"/>
  <c r="CQ13" i="1"/>
  <c r="CR59" i="1"/>
  <c r="CS57" i="1"/>
  <c r="CS44" i="1"/>
  <c r="CS40" i="1"/>
  <c r="CS106" i="1"/>
  <c r="CS148" i="1"/>
  <c r="CS183" i="1"/>
  <c r="CS358" i="1"/>
  <c r="CS48" i="1"/>
  <c r="CS206" i="1"/>
  <c r="CS230" i="1"/>
  <c r="CS260" i="1"/>
  <c r="CS298" i="1"/>
  <c r="CS310" i="1"/>
  <c r="CS306" i="1"/>
  <c r="CS350" i="1"/>
  <c r="CS367" i="1"/>
  <c r="CS56" i="1"/>
  <c r="CS51" i="1"/>
  <c r="CS43" i="1"/>
  <c r="CS38" i="1"/>
  <c r="CS210" i="1"/>
  <c r="CS208" i="1"/>
  <c r="CS262" i="1"/>
  <c r="CS297" i="1"/>
  <c r="CS309" i="1"/>
  <c r="CS302" i="1"/>
  <c r="CS301" i="1" s="1"/>
  <c r="CS341" i="1"/>
  <c r="CS22" i="1"/>
  <c r="CS54" i="1"/>
  <c r="CS50" i="1"/>
  <c r="CS46" i="1"/>
  <c r="CS42" i="1"/>
  <c r="CS108" i="1"/>
  <c r="CS109" i="1"/>
  <c r="CS151" i="1"/>
  <c r="CS185" i="1"/>
  <c r="CS181" i="1"/>
  <c r="CS207" i="1"/>
  <c r="CS214" i="1"/>
  <c r="CS213" i="1"/>
  <c r="CS211" i="1"/>
  <c r="CS228" i="1"/>
  <c r="CS259" i="1"/>
  <c r="CS300" i="1"/>
  <c r="CS315" i="1"/>
  <c r="CS308" i="1"/>
  <c r="CS336" i="1"/>
  <c r="CS340" i="1"/>
  <c r="CS352" i="1"/>
  <c r="CS362" i="1"/>
  <c r="CS360" i="1"/>
  <c r="CS392" i="1"/>
  <c r="CS52" i="1"/>
  <c r="CS187" i="1"/>
  <c r="CS256" i="1"/>
  <c r="CS333" i="1"/>
  <c r="CS47" i="1"/>
  <c r="CS101" i="1"/>
  <c r="CS153" i="1"/>
  <c r="CS186" i="1"/>
  <c r="CS182" i="1"/>
  <c r="CS205" i="1"/>
  <c r="CS209" i="1"/>
  <c r="CS229" i="1"/>
  <c r="CS258" i="1"/>
  <c r="CS354" i="1"/>
  <c r="CS363" i="1"/>
  <c r="CS357" i="1"/>
  <c r="CS58" i="1"/>
  <c r="CS53" i="1"/>
  <c r="CS49" i="1"/>
  <c r="CS45" i="1"/>
  <c r="CS41" i="1"/>
  <c r="CS107" i="1"/>
  <c r="CS123" i="1"/>
  <c r="CS149" i="1"/>
  <c r="CS150" i="1"/>
  <c r="CS184" i="1"/>
  <c r="CS180" i="1"/>
  <c r="CS221" i="1"/>
  <c r="CS220" i="1"/>
  <c r="CS219" i="1"/>
  <c r="CS218" i="1"/>
  <c r="CS217" i="1"/>
  <c r="CS216" i="1"/>
  <c r="CS215" i="1"/>
  <c r="CS261" i="1"/>
  <c r="CS255" i="1"/>
  <c r="CS247" i="1"/>
  <c r="CS299" i="1"/>
  <c r="CS314" i="1"/>
  <c r="CS307" i="1"/>
  <c r="CS335" i="1"/>
  <c r="CS344" i="1"/>
  <c r="CS368" i="1"/>
  <c r="CS359" i="1"/>
  <c r="CS391" i="1"/>
  <c r="AD401" i="1"/>
  <c r="AE401" i="1"/>
  <c r="AH401" i="1"/>
  <c r="AI401" i="1"/>
  <c r="AJ401" i="1"/>
  <c r="AM401" i="1"/>
  <c r="AN401" i="1"/>
  <c r="AO401" i="1"/>
  <c r="AR401" i="1"/>
  <c r="AS401" i="1"/>
  <c r="AT401" i="1"/>
  <c r="AW401" i="1"/>
  <c r="AX401" i="1"/>
  <c r="AY401" i="1"/>
  <c r="BB401" i="1"/>
  <c r="BC401" i="1"/>
  <c r="BD401" i="1"/>
  <c r="BG401" i="1"/>
  <c r="BH401" i="1"/>
  <c r="BI401" i="1"/>
  <c r="BL401" i="1"/>
  <c r="BM401" i="1"/>
  <c r="BN401" i="1"/>
  <c r="BQ401" i="1"/>
  <c r="BR401" i="1"/>
  <c r="BS401" i="1"/>
  <c r="BV401" i="1"/>
  <c r="BW401" i="1"/>
  <c r="BX401" i="1"/>
  <c r="CA401" i="1"/>
  <c r="CB401" i="1"/>
  <c r="CC401" i="1"/>
  <c r="CF401" i="1"/>
  <c r="CG401" i="1"/>
  <c r="CH401" i="1"/>
  <c r="CJ384" i="1"/>
  <c r="CK384" i="1"/>
  <c r="CL384" i="1"/>
  <c r="CM384" i="1"/>
  <c r="CJ366" i="1"/>
  <c r="CK366" i="1"/>
  <c r="CL366" i="1"/>
  <c r="CM366" i="1"/>
  <c r="CJ383" i="1"/>
  <c r="CK383" i="1"/>
  <c r="CL383" i="1"/>
  <c r="CM383" i="1"/>
  <c r="CJ381" i="1"/>
  <c r="CK381" i="1"/>
  <c r="CL381" i="1"/>
  <c r="CM381" i="1"/>
  <c r="CJ374" i="1"/>
  <c r="CK374" i="1"/>
  <c r="CL374" i="1"/>
  <c r="CM374" i="1"/>
  <c r="CJ376" i="1"/>
  <c r="CK376" i="1"/>
  <c r="CL376" i="1"/>
  <c r="CM376" i="1"/>
  <c r="CJ377" i="1"/>
  <c r="CK377" i="1"/>
  <c r="CL377" i="1"/>
  <c r="CM377" i="1"/>
  <c r="CJ378" i="1"/>
  <c r="CK378" i="1"/>
  <c r="CL378" i="1"/>
  <c r="CM378" i="1"/>
  <c r="CJ370" i="1"/>
  <c r="CK370" i="1"/>
  <c r="CL370" i="1"/>
  <c r="CM370" i="1"/>
  <c r="CJ371" i="1"/>
  <c r="CK371" i="1"/>
  <c r="CL371" i="1"/>
  <c r="CM371" i="1"/>
  <c r="CJ372" i="1"/>
  <c r="CK372" i="1"/>
  <c r="CL372" i="1"/>
  <c r="CM372" i="1"/>
  <c r="CJ367" i="1"/>
  <c r="CK367" i="1"/>
  <c r="CL367" i="1"/>
  <c r="CM367" i="1"/>
  <c r="CI368" i="1"/>
  <c r="CJ368" i="1"/>
  <c r="CK368" i="1"/>
  <c r="CL368" i="1"/>
  <c r="CM368" i="1"/>
  <c r="CJ369" i="1"/>
  <c r="CK369" i="1"/>
  <c r="CL369" i="1"/>
  <c r="CM369" i="1"/>
  <c r="CJ362" i="1"/>
  <c r="CK362" i="1"/>
  <c r="CL362" i="1"/>
  <c r="CM362" i="1"/>
  <c r="CM363" i="1"/>
  <c r="CL363" i="1"/>
  <c r="CK363" i="1"/>
  <c r="CJ363" i="1"/>
  <c r="CI357" i="1"/>
  <c r="CJ357" i="1"/>
  <c r="CK357" i="1"/>
  <c r="CL357" i="1"/>
  <c r="CM357" i="1"/>
  <c r="CI358" i="1"/>
  <c r="CJ358" i="1"/>
  <c r="CK358" i="1"/>
  <c r="CL358" i="1"/>
  <c r="CM358" i="1"/>
  <c r="CI359" i="1"/>
  <c r="CJ359" i="1"/>
  <c r="CK359" i="1"/>
  <c r="CL359" i="1"/>
  <c r="CM359" i="1"/>
  <c r="CI360" i="1"/>
  <c r="CJ360" i="1"/>
  <c r="CK360" i="1"/>
  <c r="CL360" i="1"/>
  <c r="CM360" i="1"/>
  <c r="CM355" i="1"/>
  <c r="CL355" i="1"/>
  <c r="CK355" i="1"/>
  <c r="CJ355" i="1"/>
  <c r="CM354" i="1"/>
  <c r="CL354" i="1"/>
  <c r="CK354" i="1"/>
  <c r="CJ354" i="1"/>
  <c r="CI354" i="1"/>
  <c r="CJ347" i="1"/>
  <c r="CK347" i="1"/>
  <c r="CL347" i="1"/>
  <c r="CM347" i="1"/>
  <c r="CJ348" i="1"/>
  <c r="CK348" i="1"/>
  <c r="CL348" i="1"/>
  <c r="CM348" i="1"/>
  <c r="CJ349" i="1"/>
  <c r="CK349" i="1"/>
  <c r="CL349" i="1"/>
  <c r="CM349" i="1"/>
  <c r="CI350" i="1"/>
  <c r="CJ350" i="1"/>
  <c r="CK350" i="1"/>
  <c r="CL350" i="1"/>
  <c r="CM350" i="1"/>
  <c r="CJ351" i="1"/>
  <c r="CK351" i="1"/>
  <c r="CL351" i="1"/>
  <c r="CM351" i="1"/>
  <c r="CI352" i="1"/>
  <c r="CJ352" i="1"/>
  <c r="CK352" i="1"/>
  <c r="CL352" i="1"/>
  <c r="CM352" i="1"/>
  <c r="CM346" i="1"/>
  <c r="CL346" i="1"/>
  <c r="CK346" i="1"/>
  <c r="CJ346" i="1"/>
  <c r="CJ344" i="1"/>
  <c r="CK344" i="1"/>
  <c r="CL344" i="1"/>
  <c r="CM344" i="1"/>
  <c r="CI344" i="1"/>
  <c r="CJ342" i="1"/>
  <c r="CK342" i="1"/>
  <c r="CL342" i="1"/>
  <c r="CM342" i="1"/>
  <c r="CI341" i="1"/>
  <c r="CJ341" i="1"/>
  <c r="CK341" i="1"/>
  <c r="CL341" i="1"/>
  <c r="CM341" i="1"/>
  <c r="CI335" i="1"/>
  <c r="CJ335" i="1"/>
  <c r="CK335" i="1"/>
  <c r="CL335" i="1"/>
  <c r="CM335" i="1"/>
  <c r="CI336" i="1"/>
  <c r="CJ336" i="1"/>
  <c r="CK336" i="1"/>
  <c r="CL336" i="1"/>
  <c r="CM336" i="1"/>
  <c r="CJ333" i="1"/>
  <c r="CK333" i="1"/>
  <c r="CL333" i="1"/>
  <c r="CM333" i="1"/>
  <c r="CI333" i="1"/>
  <c r="CM331" i="1"/>
  <c r="CL331" i="1"/>
  <c r="CK331" i="1"/>
  <c r="CJ331" i="1"/>
  <c r="CM326" i="1"/>
  <c r="CL326" i="1"/>
  <c r="CK326" i="1"/>
  <c r="CJ326" i="1"/>
  <c r="CM324" i="1"/>
  <c r="CL324" i="1"/>
  <c r="CK324" i="1"/>
  <c r="CJ324" i="1"/>
  <c r="CJ318" i="1"/>
  <c r="CK318" i="1"/>
  <c r="CL318" i="1"/>
  <c r="CM318" i="1"/>
  <c r="CI315" i="1"/>
  <c r="CJ315" i="1"/>
  <c r="CK315" i="1"/>
  <c r="CL315" i="1"/>
  <c r="CM315" i="1"/>
  <c r="CM314" i="1"/>
  <c r="CL314" i="1"/>
  <c r="CK314" i="1"/>
  <c r="CJ314" i="1"/>
  <c r="CI314" i="1"/>
  <c r="CI307" i="1"/>
  <c r="CJ307" i="1"/>
  <c r="CK307" i="1"/>
  <c r="CL307" i="1"/>
  <c r="CM307" i="1"/>
  <c r="CI308" i="1"/>
  <c r="CJ308" i="1"/>
  <c r="CK308" i="1"/>
  <c r="CL308" i="1"/>
  <c r="CM308" i="1"/>
  <c r="CI309" i="1"/>
  <c r="CJ309" i="1"/>
  <c r="CK309" i="1"/>
  <c r="CL309" i="1"/>
  <c r="CM309" i="1"/>
  <c r="CI310" i="1"/>
  <c r="CJ310" i="1"/>
  <c r="CK310" i="1"/>
  <c r="CL310" i="1"/>
  <c r="CM310" i="1"/>
  <c r="CM306" i="1"/>
  <c r="CL306" i="1"/>
  <c r="CK306" i="1"/>
  <c r="CJ306" i="1"/>
  <c r="CI306" i="1"/>
  <c r="CM302" i="1"/>
  <c r="CL302" i="1"/>
  <c r="CK302" i="1"/>
  <c r="CJ302" i="1"/>
  <c r="CI302" i="1"/>
  <c r="CI298" i="1"/>
  <c r="CJ298" i="1"/>
  <c r="CK298" i="1"/>
  <c r="CL298" i="1"/>
  <c r="CM298" i="1"/>
  <c r="CI299" i="1"/>
  <c r="CJ299" i="1"/>
  <c r="CK299" i="1"/>
  <c r="CL299" i="1"/>
  <c r="CM299" i="1"/>
  <c r="CI300" i="1"/>
  <c r="CJ300" i="1"/>
  <c r="CK300" i="1"/>
  <c r="CL300" i="1"/>
  <c r="CM300" i="1"/>
  <c r="CM297" i="1"/>
  <c r="CL297" i="1"/>
  <c r="CK297" i="1"/>
  <c r="CJ297" i="1"/>
  <c r="CI297" i="1"/>
  <c r="CJ286" i="1"/>
  <c r="CK286" i="1"/>
  <c r="CL286" i="1"/>
  <c r="CM286" i="1"/>
  <c r="CJ287" i="1"/>
  <c r="CK287" i="1"/>
  <c r="CL287" i="1"/>
  <c r="CM287" i="1"/>
  <c r="CJ288" i="1"/>
  <c r="CK288" i="1"/>
  <c r="CL288" i="1"/>
  <c r="CM288" i="1"/>
  <c r="CJ289" i="1"/>
  <c r="CK289" i="1"/>
  <c r="CL289" i="1"/>
  <c r="CM289" i="1"/>
  <c r="CJ280" i="1"/>
  <c r="CK280" i="1"/>
  <c r="CL280" i="1"/>
  <c r="CM280" i="1"/>
  <c r="CJ282" i="1"/>
  <c r="CK282" i="1"/>
  <c r="CL282" i="1"/>
  <c r="CM282" i="1"/>
  <c r="CJ283" i="1"/>
  <c r="CK283" i="1"/>
  <c r="CL283" i="1"/>
  <c r="CM283" i="1"/>
  <c r="CJ284" i="1"/>
  <c r="CK284" i="1"/>
  <c r="CL284" i="1"/>
  <c r="CM284" i="1"/>
  <c r="CJ285" i="1"/>
  <c r="CK285" i="1"/>
  <c r="CL285" i="1"/>
  <c r="CM285" i="1"/>
  <c r="CM279" i="1"/>
  <c r="CL279" i="1"/>
  <c r="CK279" i="1"/>
  <c r="CJ279" i="1"/>
  <c r="CM277" i="1"/>
  <c r="CL277" i="1"/>
  <c r="CK277" i="1"/>
  <c r="CJ277" i="1"/>
  <c r="CJ270" i="1"/>
  <c r="CK270" i="1"/>
  <c r="CL270" i="1"/>
  <c r="CM270" i="1"/>
  <c r="CJ271" i="1"/>
  <c r="CK271" i="1"/>
  <c r="CL271" i="1"/>
  <c r="CM271" i="1"/>
  <c r="CJ272" i="1"/>
  <c r="CK272" i="1"/>
  <c r="CL272" i="1"/>
  <c r="CM272" i="1"/>
  <c r="CJ273" i="1"/>
  <c r="CK273" i="1"/>
  <c r="CL273" i="1"/>
  <c r="CM273" i="1"/>
  <c r="CJ274" i="1"/>
  <c r="CK274" i="1"/>
  <c r="CL274" i="1"/>
  <c r="CM274" i="1"/>
  <c r="CI275" i="1"/>
  <c r="CJ275" i="1"/>
  <c r="CK275" i="1"/>
  <c r="CL275" i="1"/>
  <c r="CM275" i="1"/>
  <c r="CJ264" i="1"/>
  <c r="CK264" i="1"/>
  <c r="CL264" i="1"/>
  <c r="CM264" i="1"/>
  <c r="CJ265" i="1"/>
  <c r="CK265" i="1"/>
  <c r="CL265" i="1"/>
  <c r="CM265" i="1"/>
  <c r="CJ266" i="1"/>
  <c r="CK266" i="1"/>
  <c r="CL266" i="1"/>
  <c r="CM266" i="1"/>
  <c r="CJ267" i="1"/>
  <c r="CK267" i="1"/>
  <c r="CL267" i="1"/>
  <c r="CM267" i="1"/>
  <c r="CJ268" i="1"/>
  <c r="CK268" i="1"/>
  <c r="CL268" i="1"/>
  <c r="CM268" i="1"/>
  <c r="CJ269" i="1"/>
  <c r="CK269" i="1"/>
  <c r="CL269" i="1"/>
  <c r="CM269" i="1"/>
  <c r="CM237" i="1"/>
  <c r="CL237" i="1"/>
  <c r="CK237" i="1"/>
  <c r="CJ237" i="1"/>
  <c r="CI259" i="1"/>
  <c r="CJ259" i="1"/>
  <c r="CK259" i="1"/>
  <c r="CL259" i="1"/>
  <c r="CM259" i="1"/>
  <c r="CI258" i="1"/>
  <c r="CJ258" i="1"/>
  <c r="CK258" i="1"/>
  <c r="CL258" i="1"/>
  <c r="CM258" i="1"/>
  <c r="CI260" i="1"/>
  <c r="CJ260" i="1"/>
  <c r="CK260" i="1"/>
  <c r="CL260" i="1"/>
  <c r="CM260" i="1"/>
  <c r="CI261" i="1"/>
  <c r="CJ261" i="1"/>
  <c r="CK261" i="1"/>
  <c r="CL261" i="1"/>
  <c r="CM261" i="1"/>
  <c r="CI262" i="1"/>
  <c r="CJ262" i="1"/>
  <c r="CK262" i="1"/>
  <c r="CL262" i="1"/>
  <c r="CM262" i="1"/>
  <c r="CI256" i="1"/>
  <c r="CJ256" i="1"/>
  <c r="CK256" i="1"/>
  <c r="CL256" i="1"/>
  <c r="CM256" i="1"/>
  <c r="CJ252" i="1"/>
  <c r="CK252" i="1"/>
  <c r="CL252" i="1"/>
  <c r="CM252" i="1"/>
  <c r="CJ253" i="1"/>
  <c r="CK253" i="1"/>
  <c r="CL253" i="1"/>
  <c r="CM253" i="1"/>
  <c r="CJ254" i="1"/>
  <c r="CK254" i="1"/>
  <c r="CL254" i="1"/>
  <c r="CM254" i="1"/>
  <c r="CI257" i="1"/>
  <c r="CJ257" i="1"/>
  <c r="CK257" i="1"/>
  <c r="CL257" i="1"/>
  <c r="CM257" i="1"/>
  <c r="CI255" i="1"/>
  <c r="CJ255" i="1"/>
  <c r="CK255" i="1"/>
  <c r="CL255" i="1"/>
  <c r="CM255" i="1"/>
  <c r="CJ248" i="1"/>
  <c r="CK248" i="1"/>
  <c r="CL248" i="1"/>
  <c r="CM248" i="1"/>
  <c r="CJ249" i="1"/>
  <c r="CK249" i="1"/>
  <c r="CL249" i="1"/>
  <c r="CM249" i="1"/>
  <c r="CJ250" i="1"/>
  <c r="CK250" i="1"/>
  <c r="CL250" i="1"/>
  <c r="CM250" i="1"/>
  <c r="CJ251" i="1"/>
  <c r="CK251" i="1"/>
  <c r="CL251" i="1"/>
  <c r="CM251" i="1"/>
  <c r="CM247" i="1"/>
  <c r="CL247" i="1"/>
  <c r="CK247" i="1"/>
  <c r="CJ247" i="1"/>
  <c r="CI247" i="1"/>
  <c r="CI240" i="1"/>
  <c r="CJ240" i="1"/>
  <c r="CK240" i="1"/>
  <c r="CL240" i="1"/>
  <c r="CM240" i="1"/>
  <c r="CI241" i="1"/>
  <c r="CJ241" i="1"/>
  <c r="CK241" i="1"/>
  <c r="CL241" i="1"/>
  <c r="CM241" i="1"/>
  <c r="CJ242" i="1"/>
  <c r="CK242" i="1"/>
  <c r="CL242" i="1"/>
  <c r="CM242" i="1"/>
  <c r="CJ243" i="1"/>
  <c r="CK243" i="1"/>
  <c r="CL243" i="1"/>
  <c r="CM243" i="1"/>
  <c r="CJ235" i="1"/>
  <c r="CK235" i="1"/>
  <c r="CL235" i="1"/>
  <c r="CM235" i="1"/>
  <c r="CJ238" i="1"/>
  <c r="CK238" i="1"/>
  <c r="CL238" i="1"/>
  <c r="CM238" i="1"/>
  <c r="CJ239" i="1"/>
  <c r="CK239" i="1"/>
  <c r="CL239" i="1"/>
  <c r="CM239" i="1"/>
  <c r="CI228" i="1"/>
  <c r="CJ228" i="1"/>
  <c r="CK228" i="1"/>
  <c r="CL228" i="1"/>
  <c r="CM228" i="1"/>
  <c r="CI229" i="1"/>
  <c r="CJ229" i="1"/>
  <c r="CK229" i="1"/>
  <c r="CL229" i="1"/>
  <c r="CM229" i="1"/>
  <c r="CI230" i="1"/>
  <c r="CJ230" i="1"/>
  <c r="CK230" i="1"/>
  <c r="CL230" i="1"/>
  <c r="CM230" i="1"/>
  <c r="CI231" i="1"/>
  <c r="CJ231" i="1"/>
  <c r="CK231" i="1"/>
  <c r="CL231" i="1"/>
  <c r="CM231" i="1"/>
  <c r="CJ233" i="1"/>
  <c r="CK233" i="1"/>
  <c r="CL233" i="1"/>
  <c r="CM233" i="1"/>
  <c r="CI234" i="1"/>
  <c r="CJ234" i="1"/>
  <c r="CK234" i="1"/>
  <c r="CL234" i="1"/>
  <c r="CM234" i="1"/>
  <c r="CM227" i="1"/>
  <c r="CL227" i="1"/>
  <c r="CK227" i="1"/>
  <c r="CJ227" i="1"/>
  <c r="CI208" i="1"/>
  <c r="CK208" i="1"/>
  <c r="CL208" i="1"/>
  <c r="CM208" i="1"/>
  <c r="CI209" i="1"/>
  <c r="CK209" i="1"/>
  <c r="CL209" i="1"/>
  <c r="CM209" i="1"/>
  <c r="CI210" i="1"/>
  <c r="CK210" i="1"/>
  <c r="CL210" i="1"/>
  <c r="CM210" i="1"/>
  <c r="CI211" i="1"/>
  <c r="CK211" i="1"/>
  <c r="CL211" i="1"/>
  <c r="CM211" i="1"/>
  <c r="CJ212" i="1"/>
  <c r="CK212" i="1"/>
  <c r="CL212" i="1"/>
  <c r="CM212" i="1"/>
  <c r="CI213" i="1"/>
  <c r="CK213" i="1"/>
  <c r="CL213" i="1"/>
  <c r="CM213" i="1"/>
  <c r="CI214" i="1"/>
  <c r="CK214" i="1"/>
  <c r="CL214" i="1"/>
  <c r="CM214" i="1"/>
  <c r="CI215" i="1"/>
  <c r="CK215" i="1"/>
  <c r="CL215" i="1"/>
  <c r="CM215" i="1"/>
  <c r="CI216" i="1"/>
  <c r="CJ216" i="1"/>
  <c r="CK216" i="1"/>
  <c r="CL216" i="1"/>
  <c r="CM216" i="1"/>
  <c r="CI217" i="1"/>
  <c r="CJ217" i="1"/>
  <c r="CK217" i="1"/>
  <c r="CL217" i="1"/>
  <c r="CM217" i="1"/>
  <c r="CI218" i="1"/>
  <c r="CJ218" i="1"/>
  <c r="CK218" i="1"/>
  <c r="CL218" i="1"/>
  <c r="CM218" i="1"/>
  <c r="CI219" i="1"/>
  <c r="CJ219" i="1"/>
  <c r="CK219" i="1"/>
  <c r="CL219" i="1"/>
  <c r="CM219" i="1"/>
  <c r="CI220" i="1"/>
  <c r="CJ220" i="1"/>
  <c r="CK220" i="1"/>
  <c r="CL220" i="1"/>
  <c r="CM220" i="1"/>
  <c r="CI221" i="1"/>
  <c r="CJ221" i="1"/>
  <c r="CK221" i="1"/>
  <c r="CL221" i="1"/>
  <c r="CM221" i="1"/>
  <c r="CI207" i="1"/>
  <c r="CJ207" i="1"/>
  <c r="CK207" i="1"/>
  <c r="CL207" i="1"/>
  <c r="CM207" i="1"/>
  <c r="CI205" i="1"/>
  <c r="CJ205" i="1"/>
  <c r="CK205" i="1"/>
  <c r="CL205" i="1"/>
  <c r="CM205" i="1"/>
  <c r="CI206" i="1"/>
  <c r="CJ206" i="1"/>
  <c r="CK206" i="1"/>
  <c r="CL206" i="1"/>
  <c r="CM206" i="1"/>
  <c r="CM199" i="1"/>
  <c r="CL199" i="1"/>
  <c r="CK199" i="1"/>
  <c r="CJ199" i="1"/>
  <c r="CI199" i="1"/>
  <c r="CI197" i="1"/>
  <c r="CJ197" i="1"/>
  <c r="CK197" i="1"/>
  <c r="CL197" i="1"/>
  <c r="CM197" i="1"/>
  <c r="CJ196" i="1"/>
  <c r="CK196" i="1"/>
  <c r="CL196" i="1"/>
  <c r="CM196" i="1"/>
  <c r="CM195" i="1"/>
  <c r="CL195" i="1"/>
  <c r="CK195" i="1"/>
  <c r="CJ195" i="1"/>
  <c r="CJ189" i="1"/>
  <c r="CK189" i="1"/>
  <c r="CL189" i="1"/>
  <c r="CM189" i="1"/>
  <c r="CJ190" i="1"/>
  <c r="CK190" i="1"/>
  <c r="CL190" i="1"/>
  <c r="CM190" i="1"/>
  <c r="CI191" i="1"/>
  <c r="CJ191" i="1"/>
  <c r="CK191" i="1"/>
  <c r="CL191" i="1"/>
  <c r="CM191" i="1"/>
  <c r="CI192" i="1"/>
  <c r="CJ192" i="1"/>
  <c r="CK192" i="1"/>
  <c r="CL192" i="1"/>
  <c r="CM192" i="1"/>
  <c r="CI183" i="1"/>
  <c r="CJ183" i="1"/>
  <c r="CK183" i="1"/>
  <c r="CL183" i="1"/>
  <c r="CM183" i="1"/>
  <c r="CI184" i="1"/>
  <c r="CJ184" i="1"/>
  <c r="CK184" i="1"/>
  <c r="CL184" i="1"/>
  <c r="CM184" i="1"/>
  <c r="CI185" i="1"/>
  <c r="CJ185" i="1"/>
  <c r="CK185" i="1"/>
  <c r="CL185" i="1"/>
  <c r="CM185" i="1"/>
  <c r="CI186" i="1"/>
  <c r="CJ186" i="1"/>
  <c r="CK186" i="1"/>
  <c r="CL186" i="1"/>
  <c r="CM186" i="1"/>
  <c r="CI187" i="1"/>
  <c r="CJ187" i="1"/>
  <c r="CK187" i="1"/>
  <c r="CL187" i="1"/>
  <c r="CM187" i="1"/>
  <c r="CJ188" i="1"/>
  <c r="CK188" i="1"/>
  <c r="CL188" i="1"/>
  <c r="CM188" i="1"/>
  <c r="CJ178" i="1"/>
  <c r="CK178" i="1"/>
  <c r="CL178" i="1"/>
  <c r="CM178" i="1"/>
  <c r="CJ179" i="1"/>
  <c r="CK179" i="1"/>
  <c r="CL179" i="1"/>
  <c r="CM179" i="1"/>
  <c r="CI180" i="1"/>
  <c r="CJ180" i="1"/>
  <c r="CK180" i="1"/>
  <c r="CL180" i="1"/>
  <c r="CM180" i="1"/>
  <c r="CI181" i="1"/>
  <c r="CJ181" i="1"/>
  <c r="CK181" i="1"/>
  <c r="CL181" i="1"/>
  <c r="CM181" i="1"/>
  <c r="CI182" i="1"/>
  <c r="CJ182" i="1"/>
  <c r="CK182" i="1"/>
  <c r="CL182" i="1"/>
  <c r="CM182" i="1"/>
  <c r="CM176" i="1"/>
  <c r="CL176" i="1"/>
  <c r="CK176" i="1"/>
  <c r="CJ176" i="1"/>
  <c r="CJ168" i="1"/>
  <c r="CK168" i="1"/>
  <c r="CL168" i="1"/>
  <c r="CM168" i="1"/>
  <c r="CI169" i="1"/>
  <c r="CJ169" i="1"/>
  <c r="CK169" i="1"/>
  <c r="CL169" i="1"/>
  <c r="CM169" i="1"/>
  <c r="CI170" i="1"/>
  <c r="CJ170" i="1"/>
  <c r="CK170" i="1"/>
  <c r="CL170" i="1"/>
  <c r="CM170" i="1"/>
  <c r="CJ171" i="1"/>
  <c r="CK171" i="1"/>
  <c r="CL171" i="1"/>
  <c r="CM171" i="1"/>
  <c r="CI165" i="1"/>
  <c r="CJ165" i="1"/>
  <c r="CK165" i="1"/>
  <c r="CL165" i="1"/>
  <c r="CM165" i="1"/>
  <c r="CI166" i="1"/>
  <c r="CJ166" i="1"/>
  <c r="CK166" i="1"/>
  <c r="CL166" i="1"/>
  <c r="CM166" i="1"/>
  <c r="CJ167" i="1"/>
  <c r="CK167" i="1"/>
  <c r="CL167" i="1"/>
  <c r="CM167" i="1"/>
  <c r="CJ164" i="1"/>
  <c r="CK164" i="1"/>
  <c r="CL164" i="1"/>
  <c r="CM164" i="1"/>
  <c r="CM161" i="1"/>
  <c r="CL161" i="1"/>
  <c r="CK161" i="1"/>
  <c r="CJ161" i="1"/>
  <c r="CI161" i="1"/>
  <c r="CJ157" i="1"/>
  <c r="CK157" i="1"/>
  <c r="CL157" i="1"/>
  <c r="CM157" i="1"/>
  <c r="CJ154" i="1"/>
  <c r="CK154" i="1"/>
  <c r="CL154" i="1"/>
  <c r="CM154" i="1"/>
  <c r="CM153" i="1"/>
  <c r="CL153" i="1"/>
  <c r="CK153" i="1"/>
  <c r="CJ153" i="1"/>
  <c r="CI153" i="1"/>
  <c r="CI151" i="1"/>
  <c r="CJ151" i="1"/>
  <c r="CK151" i="1"/>
  <c r="CL151" i="1"/>
  <c r="CM151" i="1"/>
  <c r="CI149" i="1"/>
  <c r="CJ149" i="1"/>
  <c r="CK149" i="1"/>
  <c r="CL149" i="1"/>
  <c r="CM149" i="1"/>
  <c r="CI150" i="1"/>
  <c r="CJ150" i="1"/>
  <c r="CK150" i="1"/>
  <c r="CL150" i="1"/>
  <c r="CM150" i="1"/>
  <c r="CM148" i="1"/>
  <c r="CL148" i="1"/>
  <c r="CK148" i="1"/>
  <c r="CJ148" i="1"/>
  <c r="CI148" i="1"/>
  <c r="CM145" i="1"/>
  <c r="CL145" i="1"/>
  <c r="CJ143" i="1"/>
  <c r="CK143" i="1"/>
  <c r="CL143" i="1"/>
  <c r="CM143" i="1"/>
  <c r="CM142" i="1"/>
  <c r="CL142" i="1"/>
  <c r="CK142" i="1"/>
  <c r="CJ142" i="1"/>
  <c r="CJ135" i="1"/>
  <c r="CK135" i="1"/>
  <c r="CL135" i="1"/>
  <c r="CM135" i="1"/>
  <c r="CI137" i="1"/>
  <c r="CJ137" i="1"/>
  <c r="CK137" i="1"/>
  <c r="CL137" i="1"/>
  <c r="CM137" i="1"/>
  <c r="CI138" i="1"/>
  <c r="CJ138" i="1"/>
  <c r="CK138" i="1"/>
  <c r="CL138" i="1"/>
  <c r="CM138" i="1"/>
  <c r="CM134" i="1"/>
  <c r="CL134" i="1"/>
  <c r="CK134" i="1"/>
  <c r="CJ134" i="1"/>
  <c r="CM131" i="1"/>
  <c r="CL131" i="1"/>
  <c r="CK131" i="1"/>
  <c r="CJ131" i="1"/>
  <c r="CK129" i="1"/>
  <c r="CL129" i="1"/>
  <c r="CM129" i="1"/>
  <c r="CM128" i="1"/>
  <c r="CL128" i="1"/>
  <c r="CK128" i="1"/>
  <c r="CJ128" i="1"/>
  <c r="CI123" i="1"/>
  <c r="CJ123" i="1"/>
  <c r="CK123" i="1"/>
  <c r="CL123" i="1"/>
  <c r="CM123" i="1"/>
  <c r="CJ119" i="1"/>
  <c r="CK119" i="1"/>
  <c r="CL119" i="1"/>
  <c r="CM119" i="1"/>
  <c r="CJ124" i="1"/>
  <c r="CK124" i="1"/>
  <c r="CL124" i="1"/>
  <c r="CM124" i="1"/>
  <c r="CM121" i="1"/>
  <c r="CL121" i="1"/>
  <c r="CK121" i="1"/>
  <c r="CJ121" i="1"/>
  <c r="CJ117" i="1"/>
  <c r="CK117" i="1"/>
  <c r="CL117" i="1"/>
  <c r="CM117" i="1"/>
  <c r="CJ114" i="1"/>
  <c r="CK114" i="1"/>
  <c r="CL114" i="1"/>
  <c r="CM114" i="1"/>
  <c r="CJ115" i="1"/>
  <c r="CK115" i="1"/>
  <c r="CL115" i="1"/>
  <c r="CM115" i="1"/>
  <c r="CM113" i="1"/>
  <c r="CL113" i="1"/>
  <c r="CK113" i="1"/>
  <c r="CJ113" i="1"/>
  <c r="CI110" i="1"/>
  <c r="CJ110" i="1"/>
  <c r="CK110" i="1"/>
  <c r="CL110" i="1"/>
  <c r="CM110" i="1"/>
  <c r="CI106" i="1"/>
  <c r="CJ106" i="1"/>
  <c r="CK106" i="1"/>
  <c r="CL106" i="1"/>
  <c r="CM106" i="1"/>
  <c r="CI107" i="1"/>
  <c r="CJ107" i="1"/>
  <c r="CK107" i="1"/>
  <c r="CL107" i="1"/>
  <c r="CM107" i="1"/>
  <c r="CI108" i="1"/>
  <c r="CJ108" i="1"/>
  <c r="CK108" i="1"/>
  <c r="CL108" i="1"/>
  <c r="CM108" i="1"/>
  <c r="CI109" i="1"/>
  <c r="CJ109" i="1"/>
  <c r="CK109" i="1"/>
  <c r="CL109" i="1"/>
  <c r="CM109" i="1"/>
  <c r="CM105" i="1"/>
  <c r="CL105" i="1"/>
  <c r="CK105" i="1"/>
  <c r="CJ105" i="1"/>
  <c r="CI101" i="1"/>
  <c r="CJ101" i="1"/>
  <c r="CK101" i="1"/>
  <c r="CL101" i="1"/>
  <c r="CM101" i="1"/>
  <c r="CJ103" i="1"/>
  <c r="CK103" i="1"/>
  <c r="CL103" i="1"/>
  <c r="CM103" i="1"/>
  <c r="CM95" i="1"/>
  <c r="CL95" i="1"/>
  <c r="CK95" i="1"/>
  <c r="CJ95" i="1"/>
  <c r="CJ86" i="1"/>
  <c r="CK86" i="1"/>
  <c r="CL86" i="1"/>
  <c r="CM86" i="1"/>
  <c r="CK87" i="1"/>
  <c r="CL87" i="1"/>
  <c r="CM87" i="1"/>
  <c r="CM84" i="1"/>
  <c r="CL84" i="1"/>
  <c r="CK84" i="1"/>
  <c r="CJ84" i="1"/>
  <c r="CJ77" i="1"/>
  <c r="CK77" i="1"/>
  <c r="CL77" i="1"/>
  <c r="CM77" i="1"/>
  <c r="CJ78" i="1"/>
  <c r="CK78" i="1"/>
  <c r="CL78" i="1"/>
  <c r="CM78" i="1"/>
  <c r="CJ380" i="1"/>
  <c r="CK380" i="1"/>
  <c r="CL380" i="1"/>
  <c r="CM380" i="1"/>
  <c r="CJ79" i="1"/>
  <c r="CK79" i="1"/>
  <c r="CL79" i="1"/>
  <c r="CM79" i="1"/>
  <c r="CJ80" i="1"/>
  <c r="CK80" i="1"/>
  <c r="CL80" i="1"/>
  <c r="CM80" i="1"/>
  <c r="CJ81" i="1"/>
  <c r="CK81" i="1"/>
  <c r="CL81" i="1"/>
  <c r="CM81" i="1"/>
  <c r="CI82" i="1"/>
  <c r="CJ82" i="1"/>
  <c r="CK82" i="1"/>
  <c r="CL82" i="1"/>
  <c r="CM82" i="1"/>
  <c r="CM76" i="1"/>
  <c r="CL76" i="1"/>
  <c r="CK76" i="1"/>
  <c r="CJ76" i="1"/>
  <c r="CJ71" i="1"/>
  <c r="CK71" i="1"/>
  <c r="CL71" i="1"/>
  <c r="CM71" i="1"/>
  <c r="CM66" i="1"/>
  <c r="CL66" i="1"/>
  <c r="CK66" i="1"/>
  <c r="CJ66" i="1"/>
  <c r="CJ61" i="1"/>
  <c r="CK61" i="1"/>
  <c r="CL61" i="1"/>
  <c r="CM61" i="1"/>
  <c r="CJ62" i="1"/>
  <c r="CK62" i="1"/>
  <c r="CL62" i="1"/>
  <c r="CM62" i="1"/>
  <c r="CJ63" i="1"/>
  <c r="CK63" i="1"/>
  <c r="CL63" i="1"/>
  <c r="CM63" i="1"/>
  <c r="CM60" i="1"/>
  <c r="CL60" i="1"/>
  <c r="CK60" i="1"/>
  <c r="CJ60" i="1"/>
  <c r="CI58" i="1"/>
  <c r="CI56" i="1"/>
  <c r="CJ56" i="1"/>
  <c r="CK56" i="1"/>
  <c r="CL56" i="1"/>
  <c r="CM56" i="1"/>
  <c r="CI57" i="1"/>
  <c r="CJ57" i="1"/>
  <c r="CK57" i="1"/>
  <c r="CL57" i="1"/>
  <c r="CM57" i="1"/>
  <c r="CJ58" i="1"/>
  <c r="CK58" i="1"/>
  <c r="CL58" i="1"/>
  <c r="CM58" i="1"/>
  <c r="CI50" i="1"/>
  <c r="CJ50" i="1"/>
  <c r="CK50" i="1"/>
  <c r="CL50" i="1"/>
  <c r="CM50" i="1"/>
  <c r="CI51" i="1"/>
  <c r="CJ51" i="1"/>
  <c r="CK51" i="1"/>
  <c r="CL51" i="1"/>
  <c r="CM51" i="1"/>
  <c r="CI52" i="1"/>
  <c r="CJ52" i="1"/>
  <c r="CK52" i="1"/>
  <c r="CL52" i="1"/>
  <c r="CM52" i="1"/>
  <c r="CI53" i="1"/>
  <c r="CJ53" i="1"/>
  <c r="CK53" i="1"/>
  <c r="CL53" i="1"/>
  <c r="CM53" i="1"/>
  <c r="CI54" i="1"/>
  <c r="CJ54" i="1"/>
  <c r="CK54" i="1"/>
  <c r="CL54" i="1"/>
  <c r="CM54" i="1"/>
  <c r="CJ55" i="1"/>
  <c r="CK55" i="1"/>
  <c r="CL55" i="1"/>
  <c r="CM55" i="1"/>
  <c r="CJ38" i="1"/>
  <c r="CK38" i="1"/>
  <c r="CL38" i="1"/>
  <c r="CM38" i="1"/>
  <c r="CI40" i="1"/>
  <c r="CJ40" i="1"/>
  <c r="CK40" i="1"/>
  <c r="CL40" i="1"/>
  <c r="CM40" i="1"/>
  <c r="CI41" i="1"/>
  <c r="CJ41" i="1"/>
  <c r="CK41" i="1"/>
  <c r="CL41" i="1"/>
  <c r="CM41" i="1"/>
  <c r="CI42" i="1"/>
  <c r="CJ42" i="1"/>
  <c r="CK42" i="1"/>
  <c r="CL42" i="1"/>
  <c r="CM42" i="1"/>
  <c r="CI43" i="1"/>
  <c r="CJ43" i="1"/>
  <c r="CK43" i="1"/>
  <c r="CL43" i="1"/>
  <c r="CM43" i="1"/>
  <c r="CI44" i="1"/>
  <c r="CJ44" i="1"/>
  <c r="CK44" i="1"/>
  <c r="CL44" i="1"/>
  <c r="CM44" i="1"/>
  <c r="CI45" i="1"/>
  <c r="CJ45" i="1"/>
  <c r="CK45" i="1"/>
  <c r="CL45" i="1"/>
  <c r="CM45" i="1"/>
  <c r="CI46" i="1"/>
  <c r="CJ46" i="1"/>
  <c r="CK46" i="1"/>
  <c r="CL46" i="1"/>
  <c r="CM46" i="1"/>
  <c r="CI47" i="1"/>
  <c r="CJ47" i="1"/>
  <c r="CK47" i="1"/>
  <c r="CL47" i="1"/>
  <c r="CM47" i="1"/>
  <c r="CI48" i="1"/>
  <c r="CJ48" i="1"/>
  <c r="CK48" i="1"/>
  <c r="CL48" i="1"/>
  <c r="CM48" i="1"/>
  <c r="CI49" i="1"/>
  <c r="CJ49" i="1"/>
  <c r="CK49" i="1"/>
  <c r="CL49" i="1"/>
  <c r="CM49" i="1"/>
  <c r="CI34" i="1"/>
  <c r="CJ34" i="1"/>
  <c r="CK34" i="1"/>
  <c r="CL34" i="1"/>
  <c r="CM34" i="1"/>
  <c r="CI35" i="1"/>
  <c r="CJ35" i="1"/>
  <c r="CK35" i="1"/>
  <c r="CL35" i="1"/>
  <c r="CM35" i="1"/>
  <c r="CI36" i="1"/>
  <c r="CJ36" i="1"/>
  <c r="CK36" i="1"/>
  <c r="CL36" i="1"/>
  <c r="CM36" i="1"/>
  <c r="CM32" i="1"/>
  <c r="CL32" i="1"/>
  <c r="CK32" i="1"/>
  <c r="CJ32" i="1"/>
  <c r="CJ16" i="1"/>
  <c r="CK16" i="1"/>
  <c r="CL16" i="1"/>
  <c r="CM16" i="1"/>
  <c r="CI20" i="1"/>
  <c r="CJ20" i="1"/>
  <c r="CK20" i="1"/>
  <c r="CL20" i="1"/>
  <c r="CM20" i="1"/>
  <c r="CI17" i="1"/>
  <c r="CJ17" i="1"/>
  <c r="CK17" i="1"/>
  <c r="CL17" i="1"/>
  <c r="CM17" i="1"/>
  <c r="CI18" i="1"/>
  <c r="CJ18" i="1"/>
  <c r="CK18" i="1"/>
  <c r="CL18" i="1"/>
  <c r="CM18" i="1"/>
  <c r="CI19" i="1"/>
  <c r="CJ19" i="1"/>
  <c r="CK19" i="1"/>
  <c r="CL19" i="1"/>
  <c r="CM19" i="1"/>
  <c r="CJ21" i="1"/>
  <c r="CK21" i="1"/>
  <c r="CL21" i="1"/>
  <c r="CM21" i="1"/>
  <c r="CI22" i="1"/>
  <c r="CJ22" i="1"/>
  <c r="CK22" i="1"/>
  <c r="CL22" i="1"/>
  <c r="CM22" i="1"/>
  <c r="CJ23" i="1"/>
  <c r="CK23" i="1"/>
  <c r="CL23" i="1"/>
  <c r="CM23" i="1"/>
  <c r="CJ24" i="1"/>
  <c r="CK24" i="1"/>
  <c r="CL24" i="1"/>
  <c r="CM24" i="1"/>
  <c r="CJ25" i="1"/>
  <c r="CK25" i="1"/>
  <c r="CL25" i="1"/>
  <c r="CM25" i="1"/>
  <c r="CM15" i="1"/>
  <c r="CJ15" i="1"/>
  <c r="CK15" i="1"/>
  <c r="CL15" i="1"/>
  <c r="AK238" i="1"/>
  <c r="AF238" i="1"/>
  <c r="AA238" i="1"/>
  <c r="Z238" i="1"/>
  <c r="Y238" i="1"/>
  <c r="X238" i="1"/>
  <c r="W238" i="1"/>
  <c r="V238" i="1"/>
  <c r="U238" i="1"/>
  <c r="T238" i="1"/>
  <c r="S238" i="1"/>
  <c r="R238" i="1"/>
  <c r="I238" i="1"/>
  <c r="AK235" i="1"/>
  <c r="AA235" i="1"/>
  <c r="CO88" i="1" l="1"/>
  <c r="CQ126" i="1"/>
  <c r="CS313" i="1"/>
  <c r="CP88" i="1"/>
  <c r="CP111" i="1"/>
  <c r="CQ64" i="1"/>
  <c r="CP126" i="1"/>
  <c r="CQ225" i="1"/>
  <c r="CQ173" i="1" s="1"/>
  <c r="CQ12" i="1"/>
  <c r="CP12" i="1"/>
  <c r="CP64" i="1"/>
  <c r="CR111" i="1"/>
  <c r="CR140" i="1"/>
  <c r="CR304" i="1"/>
  <c r="CO64" i="1"/>
  <c r="CR64" i="1"/>
  <c r="CO12" i="1"/>
  <c r="CR12" i="1"/>
  <c r="CS305" i="1"/>
  <c r="CR316" i="1"/>
  <c r="CR88" i="1"/>
  <c r="CP316" i="1"/>
  <c r="CQ140" i="1"/>
  <c r="CS147" i="1"/>
  <c r="CQ316" i="1"/>
  <c r="CQ303" i="1" s="1"/>
  <c r="CO316" i="1"/>
  <c r="CS356" i="1"/>
  <c r="CS296" i="1"/>
  <c r="CS295" i="1" s="1"/>
  <c r="CO304" i="1"/>
  <c r="CR225" i="1"/>
  <c r="CR173" i="1" s="1"/>
  <c r="CR126" i="1"/>
  <c r="CQ88" i="1"/>
  <c r="CP304" i="1"/>
  <c r="CO140" i="1"/>
  <c r="CP225" i="1"/>
  <c r="CP173" i="1" s="1"/>
  <c r="CP140" i="1"/>
  <c r="CO111" i="1"/>
  <c r="CN304" i="1"/>
  <c r="CN238" i="1"/>
  <c r="CS238" i="1" s="1"/>
  <c r="CN235" i="1"/>
  <c r="CS235" i="1" s="1"/>
  <c r="CL401" i="1"/>
  <c r="CK401" i="1"/>
  <c r="CM401" i="1"/>
  <c r="CI238" i="1"/>
  <c r="CI235" i="1"/>
  <c r="CD400" i="1"/>
  <c r="BY400" i="1"/>
  <c r="BT400" i="1"/>
  <c r="BO400" i="1"/>
  <c r="BJ400" i="1"/>
  <c r="BE400" i="1"/>
  <c r="AZ400" i="1"/>
  <c r="AU400" i="1"/>
  <c r="AP400" i="1"/>
  <c r="AK400" i="1"/>
  <c r="AF400" i="1"/>
  <c r="CD399" i="1"/>
  <c r="BY399" i="1"/>
  <c r="BT399" i="1"/>
  <c r="BO399" i="1"/>
  <c r="BJ399" i="1"/>
  <c r="BE399" i="1"/>
  <c r="AZ399" i="1"/>
  <c r="AU399" i="1"/>
  <c r="AP399" i="1"/>
  <c r="AK399" i="1"/>
  <c r="AF399" i="1"/>
  <c r="CD398" i="1"/>
  <c r="BY398" i="1"/>
  <c r="BT398" i="1"/>
  <c r="BO398" i="1"/>
  <c r="BJ398" i="1"/>
  <c r="BE398" i="1"/>
  <c r="AZ398" i="1"/>
  <c r="AU398" i="1"/>
  <c r="AP398" i="1"/>
  <c r="AK398" i="1"/>
  <c r="AF398" i="1"/>
  <c r="CD397" i="1"/>
  <c r="BY397" i="1"/>
  <c r="BT397" i="1"/>
  <c r="BO397" i="1"/>
  <c r="BJ397" i="1"/>
  <c r="BE397" i="1"/>
  <c r="AZ397" i="1"/>
  <c r="AU397" i="1"/>
  <c r="AP397" i="1"/>
  <c r="AK397" i="1"/>
  <c r="AF397" i="1"/>
  <c r="CD396" i="1"/>
  <c r="BY396" i="1"/>
  <c r="BT396" i="1"/>
  <c r="BO396" i="1"/>
  <c r="BJ396" i="1"/>
  <c r="BE396" i="1"/>
  <c r="AZ396" i="1"/>
  <c r="AU396" i="1"/>
  <c r="AP396" i="1"/>
  <c r="AK396" i="1"/>
  <c r="AF396" i="1"/>
  <c r="CD395" i="1"/>
  <c r="BY395" i="1"/>
  <c r="BT395" i="1"/>
  <c r="BO395" i="1"/>
  <c r="BJ395" i="1"/>
  <c r="BE395" i="1"/>
  <c r="AZ395" i="1"/>
  <c r="AU395" i="1"/>
  <c r="AP395" i="1"/>
  <c r="AK395" i="1"/>
  <c r="AF395" i="1"/>
  <c r="AA395" i="1"/>
  <c r="CD394" i="1"/>
  <c r="BY394" i="1"/>
  <c r="BT394" i="1"/>
  <c r="BO394" i="1"/>
  <c r="BJ394" i="1"/>
  <c r="BE394" i="1"/>
  <c r="AZ394" i="1"/>
  <c r="AU394" i="1"/>
  <c r="AP394" i="1"/>
  <c r="AK394" i="1"/>
  <c r="AF394" i="1"/>
  <c r="AA394" i="1"/>
  <c r="CD393" i="1"/>
  <c r="BY393" i="1"/>
  <c r="BT393" i="1"/>
  <c r="BO393" i="1"/>
  <c r="BJ393" i="1"/>
  <c r="BE393" i="1"/>
  <c r="AZ393" i="1"/>
  <c r="AU393" i="1"/>
  <c r="AP393" i="1"/>
  <c r="AK393" i="1"/>
  <c r="AF393" i="1"/>
  <c r="AA393" i="1"/>
  <c r="AK390" i="1"/>
  <c r="AF390" i="1"/>
  <c r="AA390" i="1"/>
  <c r="CD389" i="1"/>
  <c r="BY389" i="1"/>
  <c r="BT389" i="1"/>
  <c r="BO389" i="1"/>
  <c r="BJ389" i="1"/>
  <c r="BE389" i="1"/>
  <c r="AZ389" i="1"/>
  <c r="AU389" i="1"/>
  <c r="AP389" i="1"/>
  <c r="AK389" i="1"/>
  <c r="AF389" i="1"/>
  <c r="AA389" i="1"/>
  <c r="CD387" i="1"/>
  <c r="BY387" i="1"/>
  <c r="BT387" i="1"/>
  <c r="BO387" i="1"/>
  <c r="BJ387" i="1"/>
  <c r="BE387" i="1"/>
  <c r="AZ387" i="1"/>
  <c r="AU387" i="1"/>
  <c r="AP387" i="1"/>
  <c r="AK387" i="1"/>
  <c r="AF387" i="1"/>
  <c r="AA387" i="1"/>
  <c r="AK385" i="1"/>
  <c r="AF385" i="1"/>
  <c r="AA385" i="1"/>
  <c r="CD384" i="1"/>
  <c r="BY384" i="1"/>
  <c r="BT384" i="1"/>
  <c r="BO384" i="1"/>
  <c r="BJ384" i="1"/>
  <c r="BE384" i="1"/>
  <c r="AZ384" i="1"/>
  <c r="AU384" i="1"/>
  <c r="AP384" i="1"/>
  <c r="AK384" i="1"/>
  <c r="AF384" i="1"/>
  <c r="AA384" i="1"/>
  <c r="CD366" i="1"/>
  <c r="BY366" i="1"/>
  <c r="BT366" i="1"/>
  <c r="BO366" i="1"/>
  <c r="BJ366" i="1"/>
  <c r="BE366" i="1"/>
  <c r="AZ366" i="1"/>
  <c r="AU366" i="1"/>
  <c r="AK366" i="1"/>
  <c r="AF366" i="1"/>
  <c r="AA366" i="1"/>
  <c r="CD383" i="1"/>
  <c r="BY383" i="1"/>
  <c r="BT383" i="1"/>
  <c r="BO383" i="1"/>
  <c r="BJ383" i="1"/>
  <c r="BE383" i="1"/>
  <c r="AZ383" i="1"/>
  <c r="AU383" i="1"/>
  <c r="AP383" i="1"/>
  <c r="AK383" i="1"/>
  <c r="AF383" i="1"/>
  <c r="AA383" i="1"/>
  <c r="CD381" i="1"/>
  <c r="BY381" i="1"/>
  <c r="BT381" i="1"/>
  <c r="BO381" i="1"/>
  <c r="BJ381" i="1"/>
  <c r="BE381" i="1"/>
  <c r="AZ381" i="1"/>
  <c r="AU381" i="1"/>
  <c r="AP381" i="1"/>
  <c r="AK381" i="1"/>
  <c r="AF381" i="1"/>
  <c r="AA381" i="1"/>
  <c r="AA378" i="1"/>
  <c r="CD377" i="1"/>
  <c r="BY377" i="1"/>
  <c r="BT377" i="1"/>
  <c r="BO377" i="1"/>
  <c r="BJ377" i="1"/>
  <c r="BE377" i="1"/>
  <c r="AZ377" i="1"/>
  <c r="AU377" i="1"/>
  <c r="AP377" i="1"/>
  <c r="AK377" i="1"/>
  <c r="AF377" i="1"/>
  <c r="AA377" i="1"/>
  <c r="AA376" i="1"/>
  <c r="AA374" i="1"/>
  <c r="AA372" i="1"/>
  <c r="AA371" i="1"/>
  <c r="AA370" i="1"/>
  <c r="AA369" i="1"/>
  <c r="CD355" i="1"/>
  <c r="BY355" i="1"/>
  <c r="BT355" i="1"/>
  <c r="BO355" i="1"/>
  <c r="BJ355" i="1"/>
  <c r="BE355" i="1"/>
  <c r="AZ355" i="1"/>
  <c r="AU355" i="1"/>
  <c r="AP355" i="1"/>
  <c r="AK355" i="1"/>
  <c r="AK351" i="1"/>
  <c r="AA349" i="1"/>
  <c r="AA348" i="1"/>
  <c r="AA347" i="1"/>
  <c r="AA346" i="1"/>
  <c r="AF342" i="1"/>
  <c r="AA342" i="1"/>
  <c r="CD331" i="1"/>
  <c r="BY331" i="1"/>
  <c r="BT331" i="1"/>
  <c r="BO331" i="1"/>
  <c r="BJ331" i="1"/>
  <c r="BE331" i="1"/>
  <c r="AZ331" i="1"/>
  <c r="AU331" i="1"/>
  <c r="AP331" i="1"/>
  <c r="AK331" i="1"/>
  <c r="AF331" i="1"/>
  <c r="AA331" i="1"/>
  <c r="CD326" i="1"/>
  <c r="BY326" i="1"/>
  <c r="BT326" i="1"/>
  <c r="BO326" i="1"/>
  <c r="BJ326" i="1"/>
  <c r="BE326" i="1"/>
  <c r="AZ326" i="1"/>
  <c r="AU326" i="1"/>
  <c r="AP326" i="1"/>
  <c r="AK326" i="1"/>
  <c r="AF326" i="1"/>
  <c r="AA326" i="1"/>
  <c r="CD324" i="1"/>
  <c r="BY324" i="1"/>
  <c r="BT324" i="1"/>
  <c r="BO324" i="1"/>
  <c r="BJ324" i="1"/>
  <c r="BE324" i="1"/>
  <c r="AZ324" i="1"/>
  <c r="AU324" i="1"/>
  <c r="AP324" i="1"/>
  <c r="AK324" i="1"/>
  <c r="AF324" i="1"/>
  <c r="AA324" i="1"/>
  <c r="CD318" i="1"/>
  <c r="BY318" i="1"/>
  <c r="BT318" i="1"/>
  <c r="BO318" i="1"/>
  <c r="BJ318" i="1"/>
  <c r="BE318" i="1"/>
  <c r="AZ318" i="1"/>
  <c r="AU318" i="1"/>
  <c r="AP318" i="1"/>
  <c r="AK318" i="1"/>
  <c r="AF318" i="1"/>
  <c r="AA318" i="1"/>
  <c r="AK289" i="1"/>
  <c r="AF289" i="1"/>
  <c r="AA289" i="1"/>
  <c r="AK288" i="1"/>
  <c r="AF288" i="1"/>
  <c r="AA288" i="1"/>
  <c r="AK287" i="1"/>
  <c r="AF287" i="1"/>
  <c r="AA287" i="1"/>
  <c r="AU286" i="1"/>
  <c r="AP286" i="1"/>
  <c r="AK286" i="1"/>
  <c r="AF286" i="1"/>
  <c r="AA286" i="1"/>
  <c r="AU285" i="1"/>
  <c r="AP285" i="1"/>
  <c r="AK285" i="1"/>
  <c r="AF285" i="1"/>
  <c r="AA285" i="1"/>
  <c r="AU284" i="1"/>
  <c r="AP284" i="1"/>
  <c r="AK284" i="1"/>
  <c r="AF284" i="1"/>
  <c r="AA284" i="1"/>
  <c r="AA283" i="1"/>
  <c r="AA282" i="1"/>
  <c r="CD280" i="1"/>
  <c r="BY280" i="1"/>
  <c r="BT280" i="1"/>
  <c r="BO280" i="1"/>
  <c r="BJ280" i="1"/>
  <c r="BE280" i="1"/>
  <c r="AZ280" i="1"/>
  <c r="AU280" i="1"/>
  <c r="AP280" i="1"/>
  <c r="AK280" i="1"/>
  <c r="AF280" i="1"/>
  <c r="AA280" i="1"/>
  <c r="AA279" i="1"/>
  <c r="AA277" i="1"/>
  <c r="AA273" i="1"/>
  <c r="AK272" i="1"/>
  <c r="AF272" i="1"/>
  <c r="AA272" i="1"/>
  <c r="AF271" i="1"/>
  <c r="AA271" i="1"/>
  <c r="AK270" i="1"/>
  <c r="AF270" i="1"/>
  <c r="AA270" i="1"/>
  <c r="AK269" i="1"/>
  <c r="AF269" i="1"/>
  <c r="AA269" i="1"/>
  <c r="AA267" i="1"/>
  <c r="AK266" i="1"/>
  <c r="AF266" i="1"/>
  <c r="AA266" i="1"/>
  <c r="AK265" i="1"/>
  <c r="AF265" i="1"/>
  <c r="AA265" i="1"/>
  <c r="AK264" i="1"/>
  <c r="AF264" i="1"/>
  <c r="AA264" i="1"/>
  <c r="AK237" i="1"/>
  <c r="AF237" i="1"/>
  <c r="AA237" i="1"/>
  <c r="CO253" i="1"/>
  <c r="CO246" i="1" s="1"/>
  <c r="CO225" i="1" s="1"/>
  <c r="CO173" i="1" s="1"/>
  <c r="AA253" i="1"/>
  <c r="AK252" i="1"/>
  <c r="AF252" i="1"/>
  <c r="AA252" i="1"/>
  <c r="AF251" i="1"/>
  <c r="AA251" i="1"/>
  <c r="AK250" i="1"/>
  <c r="AF250" i="1"/>
  <c r="AA250" i="1"/>
  <c r="AK249" i="1"/>
  <c r="AF249" i="1"/>
  <c r="AA249" i="1"/>
  <c r="AK248" i="1"/>
  <c r="AF248" i="1"/>
  <c r="AA248" i="1"/>
  <c r="AK243" i="1"/>
  <c r="AF243" i="1"/>
  <c r="AA243" i="1"/>
  <c r="AA242" i="1"/>
  <c r="AK239" i="1"/>
  <c r="AF239" i="1"/>
  <c r="AK233" i="1"/>
  <c r="AF233" i="1"/>
  <c r="AA233" i="1"/>
  <c r="AA227" i="1"/>
  <c r="AA212" i="1"/>
  <c r="CD197" i="1"/>
  <c r="AF196" i="1"/>
  <c r="AA195" i="1"/>
  <c r="AK179" i="1"/>
  <c r="AF179" i="1"/>
  <c r="AP178" i="1"/>
  <c r="AK178" i="1"/>
  <c r="AF178" i="1"/>
  <c r="AP176" i="1"/>
  <c r="AK176" i="1"/>
  <c r="AF176" i="1"/>
  <c r="AK171" i="1"/>
  <c r="AU170" i="1"/>
  <c r="AU169" i="1"/>
  <c r="AP168" i="1"/>
  <c r="AK168" i="1"/>
  <c r="BJ165" i="1"/>
  <c r="BE165" i="1"/>
  <c r="AZ165" i="1"/>
  <c r="BO161" i="1"/>
  <c r="BJ161" i="1"/>
  <c r="BE161" i="1"/>
  <c r="CD154" i="1"/>
  <c r="BY154" i="1"/>
  <c r="BT154" i="1"/>
  <c r="BO154" i="1"/>
  <c r="BJ154" i="1"/>
  <c r="BE154" i="1"/>
  <c r="AZ154" i="1"/>
  <c r="AU154" i="1"/>
  <c r="AP154" i="1"/>
  <c r="AK154" i="1"/>
  <c r="AF154" i="1"/>
  <c r="AA154" i="1"/>
  <c r="BE157" i="1"/>
  <c r="AZ157" i="1"/>
  <c r="AU157" i="1"/>
  <c r="AP157" i="1"/>
  <c r="AK157" i="1"/>
  <c r="AF157" i="1"/>
  <c r="AF145" i="1"/>
  <c r="AA145" i="1"/>
  <c r="CD143" i="1"/>
  <c r="BY143" i="1"/>
  <c r="BT143" i="1"/>
  <c r="BO143" i="1"/>
  <c r="BJ143" i="1"/>
  <c r="BE143" i="1"/>
  <c r="AZ143" i="1"/>
  <c r="AU143" i="1"/>
  <c r="AP143" i="1"/>
  <c r="AK143" i="1"/>
  <c r="AF143" i="1"/>
  <c r="AA143" i="1"/>
  <c r="AA142" i="1"/>
  <c r="AA134" i="1"/>
  <c r="CD131" i="1"/>
  <c r="BY131" i="1"/>
  <c r="BT131" i="1"/>
  <c r="BO131" i="1"/>
  <c r="BJ131" i="1"/>
  <c r="BE131" i="1"/>
  <c r="AK131" i="1"/>
  <c r="AF131" i="1"/>
  <c r="AA131" i="1"/>
  <c r="CD129" i="1"/>
  <c r="BY129" i="1"/>
  <c r="BT129" i="1"/>
  <c r="BO129" i="1"/>
  <c r="BJ129" i="1"/>
  <c r="BE129" i="1"/>
  <c r="AZ129" i="1"/>
  <c r="AU129" i="1"/>
  <c r="AP129" i="1"/>
  <c r="AK129" i="1"/>
  <c r="AF129" i="1"/>
  <c r="AB129" i="1"/>
  <c r="AB401" i="1" s="1"/>
  <c r="CD128" i="1"/>
  <c r="BY128" i="1"/>
  <c r="BT128" i="1"/>
  <c r="BO128" i="1"/>
  <c r="BJ128" i="1"/>
  <c r="BE128" i="1"/>
  <c r="AZ128" i="1"/>
  <c r="AU128" i="1"/>
  <c r="AP128" i="1"/>
  <c r="AK128" i="1"/>
  <c r="AF128" i="1"/>
  <c r="AA128" i="1"/>
  <c r="AK124" i="1"/>
  <c r="AF124" i="1"/>
  <c r="AK119" i="1"/>
  <c r="AF119" i="1"/>
  <c r="AA119" i="1"/>
  <c r="AA121" i="1"/>
  <c r="AK117" i="1"/>
  <c r="AF117" i="1"/>
  <c r="AK115" i="1"/>
  <c r="AF115" i="1"/>
  <c r="AA115" i="1"/>
  <c r="AK114" i="1"/>
  <c r="AF114" i="1"/>
  <c r="AA114" i="1"/>
  <c r="AK113" i="1"/>
  <c r="AF113" i="1"/>
  <c r="AA113" i="1"/>
  <c r="AF105" i="1"/>
  <c r="AK103" i="1"/>
  <c r="AF103" i="1"/>
  <c r="AA103" i="1"/>
  <c r="AK100" i="1"/>
  <c r="AF100" i="1"/>
  <c r="AA100" i="1"/>
  <c r="AK99" i="1"/>
  <c r="AF99" i="1"/>
  <c r="AA99" i="1"/>
  <c r="CD87" i="1"/>
  <c r="BY87" i="1"/>
  <c r="BT87" i="1"/>
  <c r="BO87" i="1"/>
  <c r="BJ87" i="1"/>
  <c r="BE87" i="1"/>
  <c r="AZ87" i="1"/>
  <c r="AU87" i="1"/>
  <c r="AP87" i="1"/>
  <c r="AK87" i="1"/>
  <c r="AF87" i="1"/>
  <c r="CD86" i="1"/>
  <c r="BY86" i="1"/>
  <c r="BT86" i="1"/>
  <c r="BO86" i="1"/>
  <c r="BJ86" i="1"/>
  <c r="BE86" i="1"/>
  <c r="AZ86" i="1"/>
  <c r="AU86" i="1"/>
  <c r="AP86" i="1"/>
  <c r="AK86" i="1"/>
  <c r="AF86" i="1"/>
  <c r="AA86" i="1"/>
  <c r="AK84" i="1"/>
  <c r="AF84" i="1"/>
  <c r="AA84" i="1"/>
  <c r="AA81" i="1"/>
  <c r="AA80" i="1"/>
  <c r="CD79" i="1"/>
  <c r="BY79" i="1"/>
  <c r="BT79" i="1"/>
  <c r="BO79" i="1"/>
  <c r="BJ79" i="1"/>
  <c r="BE79" i="1"/>
  <c r="AZ79" i="1"/>
  <c r="AU79" i="1"/>
  <c r="AP79" i="1"/>
  <c r="AK79" i="1"/>
  <c r="AF79" i="1"/>
  <c r="AA79" i="1"/>
  <c r="CD380" i="1"/>
  <c r="BY380" i="1"/>
  <c r="BT380" i="1"/>
  <c r="BO380" i="1"/>
  <c r="BJ380" i="1"/>
  <c r="BE380" i="1"/>
  <c r="AZ380" i="1"/>
  <c r="AU380" i="1"/>
  <c r="AP380" i="1"/>
  <c r="AK380" i="1"/>
  <c r="AF380" i="1"/>
  <c r="AA380" i="1"/>
  <c r="CD78" i="1"/>
  <c r="BY78" i="1"/>
  <c r="BT78" i="1"/>
  <c r="BO78" i="1"/>
  <c r="BJ78" i="1"/>
  <c r="BE78" i="1"/>
  <c r="AZ78" i="1"/>
  <c r="AU78" i="1"/>
  <c r="AP78" i="1"/>
  <c r="AK78" i="1"/>
  <c r="AF78" i="1"/>
  <c r="AA78" i="1"/>
  <c r="CD77" i="1"/>
  <c r="BY77" i="1"/>
  <c r="BT77" i="1"/>
  <c r="BO77" i="1"/>
  <c r="BJ77" i="1"/>
  <c r="BE77" i="1"/>
  <c r="AZ77" i="1"/>
  <c r="AU77" i="1"/>
  <c r="AP77" i="1"/>
  <c r="AK77" i="1"/>
  <c r="AF77" i="1"/>
  <c r="AA77" i="1"/>
  <c r="AK76" i="1"/>
  <c r="AF76" i="1"/>
  <c r="AA76" i="1"/>
  <c r="AA71" i="1"/>
  <c r="CD66" i="1"/>
  <c r="BY66" i="1"/>
  <c r="BT66" i="1"/>
  <c r="BO66" i="1"/>
  <c r="BJ66" i="1"/>
  <c r="BE66" i="1"/>
  <c r="AZ66" i="1"/>
  <c r="AU66" i="1"/>
  <c r="AP66" i="1"/>
  <c r="AK66" i="1"/>
  <c r="AF66" i="1"/>
  <c r="AA66" i="1"/>
  <c r="AA63" i="1"/>
  <c r="AA62" i="1"/>
  <c r="AZ61" i="1"/>
  <c r="AU61" i="1"/>
  <c r="AP61" i="1"/>
  <c r="AK61" i="1"/>
  <c r="AF61" i="1"/>
  <c r="AA61" i="1"/>
  <c r="CD60" i="1"/>
  <c r="BY60" i="1"/>
  <c r="BT60" i="1"/>
  <c r="BO60" i="1"/>
  <c r="BJ60" i="1"/>
  <c r="BE60" i="1"/>
  <c r="AZ60" i="1"/>
  <c r="AU60" i="1"/>
  <c r="AP60" i="1"/>
  <c r="AK60" i="1"/>
  <c r="AF60" i="1"/>
  <c r="AA60" i="1"/>
  <c r="CD55" i="1"/>
  <c r="BY55" i="1"/>
  <c r="BT55" i="1"/>
  <c r="BO55" i="1"/>
  <c r="BJ55" i="1"/>
  <c r="BE55" i="1"/>
  <c r="AZ55" i="1"/>
  <c r="AU55" i="1"/>
  <c r="AP55" i="1"/>
  <c r="AK55" i="1"/>
  <c r="AF55" i="1"/>
  <c r="CD32" i="1"/>
  <c r="BY32" i="1"/>
  <c r="BT32" i="1"/>
  <c r="BO32" i="1"/>
  <c r="BJ32" i="1"/>
  <c r="BE32" i="1"/>
  <c r="AZ32" i="1"/>
  <c r="AU32" i="1"/>
  <c r="AP32" i="1"/>
  <c r="AK32" i="1"/>
  <c r="AF32" i="1"/>
  <c r="AA32" i="1"/>
  <c r="CD25" i="1"/>
  <c r="BY25" i="1"/>
  <c r="BT25" i="1"/>
  <c r="BO25" i="1"/>
  <c r="BJ25" i="1"/>
  <c r="BE25" i="1"/>
  <c r="AZ25" i="1"/>
  <c r="AU25" i="1"/>
  <c r="AP25" i="1"/>
  <c r="AK25" i="1"/>
  <c r="AF25" i="1"/>
  <c r="AA25" i="1"/>
  <c r="CD24" i="1"/>
  <c r="BY24" i="1"/>
  <c r="BT24" i="1"/>
  <c r="BO24" i="1"/>
  <c r="BJ24" i="1"/>
  <c r="BE24" i="1"/>
  <c r="AZ24" i="1"/>
  <c r="AU24" i="1"/>
  <c r="AP24" i="1"/>
  <c r="AK24" i="1"/>
  <c r="AF24" i="1"/>
  <c r="AA24" i="1"/>
  <c r="CD23" i="1"/>
  <c r="BY23" i="1"/>
  <c r="BT23" i="1"/>
  <c r="BO23" i="1"/>
  <c r="BJ23" i="1"/>
  <c r="BE23" i="1"/>
  <c r="AZ23" i="1"/>
  <c r="AU23" i="1"/>
  <c r="AP23" i="1"/>
  <c r="AK23" i="1"/>
  <c r="AF23" i="1"/>
  <c r="AA23" i="1"/>
  <c r="AA21" i="1"/>
  <c r="AA16" i="1"/>
  <c r="AF15" i="1"/>
  <c r="AA15" i="1"/>
  <c r="CS304" i="1" l="1"/>
  <c r="CQ401" i="1"/>
  <c r="CR303" i="1"/>
  <c r="CR401" i="1" s="1"/>
  <c r="CP303" i="1"/>
  <c r="CP401" i="1" s="1"/>
  <c r="CO303" i="1"/>
  <c r="CN100" i="1"/>
  <c r="CS100" i="1" s="1"/>
  <c r="CN99" i="1"/>
  <c r="CS99" i="1" s="1"/>
  <c r="CN16" i="1"/>
  <c r="CS16" i="1" s="1"/>
  <c r="CN371" i="1"/>
  <c r="CS371" i="1" s="1"/>
  <c r="CN62" i="1"/>
  <c r="CS62" i="1" s="1"/>
  <c r="CN241" i="1"/>
  <c r="CS241" i="1" s="1"/>
  <c r="CN277" i="1"/>
  <c r="CN63" i="1"/>
  <c r="CS63" i="1" s="1"/>
  <c r="CN134" i="1"/>
  <c r="CN196" i="1"/>
  <c r="CS196" i="1" s="1"/>
  <c r="CN282" i="1"/>
  <c r="CS282" i="1" s="1"/>
  <c r="CN374" i="1"/>
  <c r="CS374" i="1" s="1"/>
  <c r="CN346" i="1"/>
  <c r="CN351" i="1"/>
  <c r="CS351" i="1" s="1"/>
  <c r="CN195" i="1"/>
  <c r="CI195" i="1"/>
  <c r="CO129" i="1"/>
  <c r="CI84" i="1"/>
  <c r="AK401" i="1"/>
  <c r="AK402" i="1" s="1"/>
  <c r="CI393" i="1"/>
  <c r="CI394" i="1"/>
  <c r="CI395" i="1"/>
  <c r="CI396" i="1"/>
  <c r="CI397" i="1"/>
  <c r="CI398" i="1"/>
  <c r="CI399" i="1"/>
  <c r="CI400" i="1"/>
  <c r="CI384" i="1"/>
  <c r="CN385" i="1"/>
  <c r="CS385" i="1" s="1"/>
  <c r="CI385" i="1"/>
  <c r="CI387" i="1"/>
  <c r="CI389" i="1"/>
  <c r="CI390" i="1"/>
  <c r="CN166" i="1"/>
  <c r="CS166" i="1" s="1"/>
  <c r="CN167" i="1"/>
  <c r="CS167" i="1" s="1"/>
  <c r="CN168" i="1"/>
  <c r="CS168" i="1" s="1"/>
  <c r="CN169" i="1"/>
  <c r="CS169" i="1" s="1"/>
  <c r="CN179" i="1"/>
  <c r="CS179" i="1" s="1"/>
  <c r="CN170" i="1"/>
  <c r="CS170" i="1" s="1"/>
  <c r="CN271" i="1"/>
  <c r="CS271" i="1" s="1"/>
  <c r="CN342" i="1"/>
  <c r="CS342" i="1" s="1"/>
  <c r="CN15" i="1"/>
  <c r="CS15" i="1" s="1"/>
  <c r="CN20" i="1"/>
  <c r="CS20" i="1" s="1"/>
  <c r="CN18" i="1"/>
  <c r="CS18" i="1" s="1"/>
  <c r="CN21" i="1"/>
  <c r="CS21" i="1" s="1"/>
  <c r="CN66" i="1"/>
  <c r="CN71" i="1"/>
  <c r="CS71" i="1" s="1"/>
  <c r="CN84" i="1"/>
  <c r="CN95" i="1"/>
  <c r="CN113" i="1"/>
  <c r="CN114" i="1"/>
  <c r="CS114" i="1" s="1"/>
  <c r="CN115" i="1"/>
  <c r="CS115" i="1" s="1"/>
  <c r="CN121" i="1"/>
  <c r="CN128" i="1"/>
  <c r="CN157" i="1"/>
  <c r="CS157" i="1" s="1"/>
  <c r="CN239" i="1"/>
  <c r="CS239" i="1" s="1"/>
  <c r="CN240" i="1"/>
  <c r="CS240" i="1" s="1"/>
  <c r="CN242" i="1"/>
  <c r="CS242" i="1" s="1"/>
  <c r="CN243" i="1"/>
  <c r="CS243" i="1" s="1"/>
  <c r="CN279" i="1"/>
  <c r="CS279" i="1" s="1"/>
  <c r="CN280" i="1"/>
  <c r="CS280" i="1" s="1"/>
  <c r="CN284" i="1"/>
  <c r="CS284" i="1" s="1"/>
  <c r="CN285" i="1"/>
  <c r="CS285" i="1" s="1"/>
  <c r="CN286" i="1"/>
  <c r="CS286" i="1" s="1"/>
  <c r="CN287" i="1"/>
  <c r="CS287" i="1" s="1"/>
  <c r="CN288" i="1"/>
  <c r="CS288" i="1" s="1"/>
  <c r="CN289" i="1"/>
  <c r="CS289" i="1" s="1"/>
  <c r="CN390" i="1"/>
  <c r="CS390" i="1" s="1"/>
  <c r="CN331" i="1"/>
  <c r="CS331" i="1" s="1"/>
  <c r="CN383" i="1"/>
  <c r="CS383" i="1" s="1"/>
  <c r="CN366" i="1"/>
  <c r="CN384" i="1"/>
  <c r="CS384" i="1" s="1"/>
  <c r="CN103" i="1"/>
  <c r="CS103" i="1" s="1"/>
  <c r="CN176" i="1"/>
  <c r="CN17" i="1"/>
  <c r="CS17" i="1" s="1"/>
  <c r="CN19" i="1"/>
  <c r="CS19" i="1" s="1"/>
  <c r="CI283" i="1"/>
  <c r="CN283" i="1"/>
  <c r="CS283" i="1" s="1"/>
  <c r="CN23" i="1"/>
  <c r="CS23" i="1" s="1"/>
  <c r="CN25" i="1"/>
  <c r="CS25" i="1" s="1"/>
  <c r="CN86" i="1"/>
  <c r="CS86" i="1" s="1"/>
  <c r="CN131" i="1"/>
  <c r="CN231" i="1"/>
  <c r="CS231" i="1" s="1"/>
  <c r="CN233" i="1"/>
  <c r="CS233" i="1" s="1"/>
  <c r="CN318" i="1"/>
  <c r="CN387" i="1"/>
  <c r="CS387" i="1" s="1"/>
  <c r="CN389" i="1"/>
  <c r="CS389" i="1" s="1"/>
  <c r="CN32" i="1"/>
  <c r="CS32" i="1" s="1"/>
  <c r="CN34" i="1"/>
  <c r="CS34" i="1" s="1"/>
  <c r="CN35" i="1"/>
  <c r="CS35" i="1" s="1"/>
  <c r="CN36" i="1"/>
  <c r="CS36" i="1" s="1"/>
  <c r="CN55" i="1"/>
  <c r="CS55" i="1" s="1"/>
  <c r="CN60" i="1"/>
  <c r="CN61" i="1"/>
  <c r="CS61" i="1" s="1"/>
  <c r="CI105" i="1"/>
  <c r="CN105" i="1"/>
  <c r="CN110" i="1"/>
  <c r="CS110" i="1" s="1"/>
  <c r="CN119" i="1"/>
  <c r="CS119" i="1" s="1"/>
  <c r="CN124" i="1"/>
  <c r="CS124" i="1" s="1"/>
  <c r="CN142" i="1"/>
  <c r="CN143" i="1"/>
  <c r="CS143" i="1" s="1"/>
  <c r="CN161" i="1"/>
  <c r="CI164" i="1"/>
  <c r="CN164" i="1"/>
  <c r="CS164" i="1" s="1"/>
  <c r="CN165" i="1"/>
  <c r="CS165" i="1" s="1"/>
  <c r="CI171" i="1"/>
  <c r="CN171" i="1"/>
  <c r="CS171" i="1" s="1"/>
  <c r="CN178" i="1"/>
  <c r="CS178" i="1" s="1"/>
  <c r="CN227" i="1"/>
  <c r="CN234" i="1"/>
  <c r="CS234" i="1" s="1"/>
  <c r="CN248" i="1"/>
  <c r="CN249" i="1"/>
  <c r="CS249" i="1" s="1"/>
  <c r="CN250" i="1"/>
  <c r="CS250" i="1" s="1"/>
  <c r="CN251" i="1"/>
  <c r="CS251" i="1" s="1"/>
  <c r="CN252" i="1"/>
  <c r="CS252" i="1" s="1"/>
  <c r="CI254" i="1"/>
  <c r="CN254" i="1"/>
  <c r="CS254" i="1" s="1"/>
  <c r="CN257" i="1"/>
  <c r="CS257" i="1" s="1"/>
  <c r="CN237" i="1"/>
  <c r="CS237" i="1" s="1"/>
  <c r="CN264" i="1"/>
  <c r="CN265" i="1"/>
  <c r="CS265" i="1" s="1"/>
  <c r="CN266" i="1"/>
  <c r="CS266" i="1" s="1"/>
  <c r="CN267" i="1"/>
  <c r="CS267" i="1" s="1"/>
  <c r="CN268" i="1"/>
  <c r="CS268" i="1" s="1"/>
  <c r="CN269" i="1"/>
  <c r="CS269" i="1" s="1"/>
  <c r="CN270" i="1"/>
  <c r="CS270" i="1" s="1"/>
  <c r="CN272" i="1"/>
  <c r="CS272" i="1" s="1"/>
  <c r="CN273" i="1"/>
  <c r="CS273" i="1" s="1"/>
  <c r="CN274" i="1"/>
  <c r="CS274" i="1" s="1"/>
  <c r="CN275" i="1"/>
  <c r="CS275" i="1" s="1"/>
  <c r="CN324" i="1"/>
  <c r="CS324" i="1" s="1"/>
  <c r="CI369" i="1"/>
  <c r="CN369" i="1"/>
  <c r="CS369" i="1" s="1"/>
  <c r="CI370" i="1"/>
  <c r="CN370" i="1"/>
  <c r="CS370" i="1" s="1"/>
  <c r="CI372" i="1"/>
  <c r="CN372" i="1"/>
  <c r="CS372" i="1" s="1"/>
  <c r="CI376" i="1"/>
  <c r="CN376" i="1"/>
  <c r="CS376" i="1" s="1"/>
  <c r="CN377" i="1"/>
  <c r="CS377" i="1" s="1"/>
  <c r="CI378" i="1"/>
  <c r="CN378" i="1"/>
  <c r="CS378" i="1" s="1"/>
  <c r="CN381" i="1"/>
  <c r="CS381" i="1" s="1"/>
  <c r="CN24" i="1"/>
  <c r="CS24" i="1" s="1"/>
  <c r="CN87" i="1"/>
  <c r="CS87" i="1" s="1"/>
  <c r="CN117" i="1"/>
  <c r="CN154" i="1"/>
  <c r="CN197" i="1"/>
  <c r="CS197" i="1" s="1"/>
  <c r="CN76" i="1"/>
  <c r="CN77" i="1"/>
  <c r="CS77" i="1" s="1"/>
  <c r="CN78" i="1"/>
  <c r="CS78" i="1" s="1"/>
  <c r="CN380" i="1"/>
  <c r="CS380" i="1" s="1"/>
  <c r="CN79" i="1"/>
  <c r="CS79" i="1" s="1"/>
  <c r="CI80" i="1"/>
  <c r="CN80" i="1"/>
  <c r="CS80" i="1" s="1"/>
  <c r="CN81" i="1"/>
  <c r="CS81" i="1" s="1"/>
  <c r="CN82" i="1"/>
  <c r="CS82" i="1" s="1"/>
  <c r="CN145" i="1"/>
  <c r="CN188" i="1"/>
  <c r="CS188" i="1" s="1"/>
  <c r="CN189" i="1"/>
  <c r="CS189" i="1" s="1"/>
  <c r="CN190" i="1"/>
  <c r="CS190" i="1" s="1"/>
  <c r="CN135" i="1"/>
  <c r="CS135" i="1" s="1"/>
  <c r="CN137" i="1"/>
  <c r="CS137" i="1" s="1"/>
  <c r="CN138" i="1"/>
  <c r="CS138" i="1" s="1"/>
  <c r="CN191" i="1"/>
  <c r="CS191" i="1" s="1"/>
  <c r="CN192" i="1"/>
  <c r="CS192" i="1" s="1"/>
  <c r="CI212" i="1"/>
  <c r="CN212" i="1"/>
  <c r="CN326" i="1"/>
  <c r="CS326" i="1" s="1"/>
  <c r="CI347" i="1"/>
  <c r="CN347" i="1"/>
  <c r="CS347" i="1" s="1"/>
  <c r="CI348" i="1"/>
  <c r="CN348" i="1"/>
  <c r="CS348" i="1" s="1"/>
  <c r="CI349" i="1"/>
  <c r="CN349" i="1"/>
  <c r="CS349" i="1" s="1"/>
  <c r="CN355" i="1"/>
  <c r="CN393" i="1"/>
  <c r="CS393" i="1" s="1"/>
  <c r="CN394" i="1"/>
  <c r="CS394" i="1" s="1"/>
  <c r="CN395" i="1"/>
  <c r="CS395" i="1" s="1"/>
  <c r="CN396" i="1"/>
  <c r="CS396" i="1" s="1"/>
  <c r="CN397" i="1"/>
  <c r="CS397" i="1" s="1"/>
  <c r="CN398" i="1"/>
  <c r="CS398" i="1" s="1"/>
  <c r="CN399" i="1"/>
  <c r="CS399" i="1" s="1"/>
  <c r="CN400" i="1"/>
  <c r="CS400" i="1" s="1"/>
  <c r="CI176" i="1"/>
  <c r="CI119" i="1"/>
  <c r="CI179" i="1"/>
  <c r="CI103" i="1"/>
  <c r="AF401" i="1"/>
  <c r="AF402" i="1" s="1"/>
  <c r="CI24" i="1"/>
  <c r="CI87" i="1"/>
  <c r="BE401" i="1"/>
  <c r="BE402" i="1" s="1"/>
  <c r="BY401" i="1"/>
  <c r="BY402" i="1" s="1"/>
  <c r="CI76" i="1"/>
  <c r="CI77" i="1"/>
  <c r="CI78" i="1"/>
  <c r="CI380" i="1"/>
  <c r="CI79" i="1"/>
  <c r="CI81" i="1"/>
  <c r="CI128" i="1"/>
  <c r="AA129" i="1"/>
  <c r="AA401" i="1" s="1"/>
  <c r="CJ129" i="1"/>
  <c r="CJ401" i="1" s="1"/>
  <c r="CI134" i="1"/>
  <c r="CI154" i="1"/>
  <c r="CI274" i="1"/>
  <c r="CI288" i="1"/>
  <c r="CI289" i="1"/>
  <c r="CI326" i="1"/>
  <c r="CI346" i="1"/>
  <c r="CI371" i="1"/>
  <c r="BO401" i="1"/>
  <c r="BO402" i="1" s="1"/>
  <c r="CI25" i="1"/>
  <c r="CI86" i="1"/>
  <c r="CI15" i="1"/>
  <c r="CI16" i="1"/>
  <c r="AP401" i="1"/>
  <c r="AP402" i="1" s="1"/>
  <c r="BJ401" i="1"/>
  <c r="BJ402" i="1" s="1"/>
  <c r="CI21" i="1"/>
  <c r="CI66" i="1"/>
  <c r="CI71" i="1"/>
  <c r="CI95" i="1"/>
  <c r="CI113" i="1"/>
  <c r="CI114" i="1"/>
  <c r="CI115" i="1"/>
  <c r="CI121" i="1"/>
  <c r="CI131" i="1"/>
  <c r="CI239" i="1"/>
  <c r="CI242" i="1"/>
  <c r="CI243" i="1"/>
  <c r="CI331" i="1"/>
  <c r="CI342" i="1"/>
  <c r="CI355" i="1"/>
  <c r="CI374" i="1"/>
  <c r="CI377" i="1"/>
  <c r="CI381" i="1"/>
  <c r="CI117" i="1"/>
  <c r="CI124" i="1"/>
  <c r="CI142" i="1"/>
  <c r="CI143" i="1"/>
  <c r="CI157" i="1"/>
  <c r="CI167" i="1"/>
  <c r="CI168" i="1"/>
  <c r="CI178" i="1"/>
  <c r="CI196" i="1"/>
  <c r="CI233" i="1"/>
  <c r="CI277" i="1"/>
  <c r="CI318" i="1"/>
  <c r="CI351" i="1"/>
  <c r="AU401" i="1"/>
  <c r="AU402" i="1" s="1"/>
  <c r="CI23" i="1"/>
  <c r="AZ401" i="1"/>
  <c r="AZ402" i="1" s="1"/>
  <c r="BT401" i="1"/>
  <c r="BT402" i="1" s="1"/>
  <c r="CI32" i="1"/>
  <c r="CI55" i="1"/>
  <c r="CI60" i="1"/>
  <c r="CI61" i="1"/>
  <c r="CI62" i="1"/>
  <c r="CI63" i="1"/>
  <c r="CI145" i="1"/>
  <c r="CI188" i="1"/>
  <c r="CI189" i="1"/>
  <c r="CI190" i="1"/>
  <c r="CI135" i="1"/>
  <c r="CI227" i="1"/>
  <c r="CI248" i="1"/>
  <c r="CI249" i="1"/>
  <c r="CI250" i="1"/>
  <c r="CI251" i="1"/>
  <c r="CI252" i="1"/>
  <c r="CI253" i="1"/>
  <c r="CI237" i="1"/>
  <c r="CI264" i="1"/>
  <c r="CI265" i="1"/>
  <c r="CI266" i="1"/>
  <c r="CI267" i="1"/>
  <c r="CI268" i="1"/>
  <c r="CI269" i="1"/>
  <c r="CI270" i="1"/>
  <c r="CI271" i="1"/>
  <c r="CI272" i="1"/>
  <c r="CI273" i="1"/>
  <c r="CI279" i="1"/>
  <c r="CI280" i="1"/>
  <c r="CI282" i="1"/>
  <c r="CI284" i="1"/>
  <c r="CI285" i="1"/>
  <c r="CI286" i="1"/>
  <c r="CI287" i="1"/>
  <c r="CI324" i="1"/>
  <c r="CI383" i="1"/>
  <c r="CI366" i="1"/>
  <c r="CD401" i="1"/>
  <c r="CN83" i="1" l="1"/>
  <c r="CS154" i="1"/>
  <c r="CS152" i="1" s="1"/>
  <c r="CN152" i="1"/>
  <c r="CS195" i="1"/>
  <c r="CS194" i="1" s="1"/>
  <c r="CN194" i="1"/>
  <c r="CS277" i="1"/>
  <c r="CS276" i="1" s="1"/>
  <c r="CN276" i="1"/>
  <c r="CS161" i="1"/>
  <c r="CS160" i="1" s="1"/>
  <c r="CN160" i="1"/>
  <c r="CS131" i="1"/>
  <c r="CS130" i="1" s="1"/>
  <c r="CN130" i="1"/>
  <c r="CS176" i="1"/>
  <c r="CS175" i="1" s="1"/>
  <c r="CS174" i="1" s="1"/>
  <c r="CN175" i="1"/>
  <c r="CN174" i="1" s="1"/>
  <c r="CS113" i="1"/>
  <c r="CS112" i="1" s="1"/>
  <c r="CN112" i="1"/>
  <c r="CS355" i="1"/>
  <c r="CS353" i="1" s="1"/>
  <c r="CN353" i="1"/>
  <c r="CS212" i="1"/>
  <c r="CS198" i="1" s="1"/>
  <c r="CN198" i="1"/>
  <c r="CS264" i="1"/>
  <c r="CS263" i="1" s="1"/>
  <c r="CN263" i="1"/>
  <c r="CS142" i="1"/>
  <c r="CS141" i="1" s="1"/>
  <c r="CN141" i="1"/>
  <c r="CS105" i="1"/>
  <c r="CS104" i="1" s="1"/>
  <c r="CN104" i="1"/>
  <c r="CS84" i="1"/>
  <c r="CS83" i="1" s="1"/>
  <c r="CS248" i="1"/>
  <c r="CS366" i="1"/>
  <c r="CS361" i="1" s="1"/>
  <c r="CN361" i="1"/>
  <c r="CS145" i="1"/>
  <c r="CS144" i="1" s="1"/>
  <c r="CN144" i="1"/>
  <c r="CS117" i="1"/>
  <c r="CS116" i="1" s="1"/>
  <c r="CN116" i="1"/>
  <c r="CS128" i="1"/>
  <c r="CS66" i="1"/>
  <c r="CS65" i="1" s="1"/>
  <c r="CN65" i="1"/>
  <c r="CS76" i="1"/>
  <c r="CS75" i="1" s="1"/>
  <c r="CN75" i="1"/>
  <c r="CS227" i="1"/>
  <c r="CS226" i="1" s="1"/>
  <c r="CN226" i="1"/>
  <c r="CS318" i="1"/>
  <c r="CS317" i="1" s="1"/>
  <c r="CN317" i="1"/>
  <c r="CS121" i="1"/>
  <c r="CS120" i="1" s="1"/>
  <c r="CN120" i="1"/>
  <c r="CN89" i="1"/>
  <c r="CO127" i="1"/>
  <c r="CO126" i="1" s="1"/>
  <c r="CO401" i="1" s="1"/>
  <c r="CS346" i="1"/>
  <c r="CS345" i="1" s="1"/>
  <c r="CN345" i="1"/>
  <c r="CS134" i="1"/>
  <c r="CS133" i="1" s="1"/>
  <c r="CN133" i="1"/>
  <c r="CN13" i="1"/>
  <c r="CS60" i="1"/>
  <c r="CS59" i="1" s="1"/>
  <c r="CN59" i="1"/>
  <c r="CS13" i="1"/>
  <c r="CS95" i="1"/>
  <c r="CS89" i="1" s="1"/>
  <c r="AA402" i="1"/>
  <c r="CD402" i="1"/>
  <c r="CN253" i="1"/>
  <c r="CS253" i="1" s="1"/>
  <c r="CI129" i="1"/>
  <c r="CN129" i="1"/>
  <c r="CS129" i="1" s="1"/>
  <c r="CS193" i="1" l="1"/>
  <c r="CN316" i="1"/>
  <c r="CN303" i="1" s="1"/>
  <c r="CN127" i="1"/>
  <c r="CN126" i="1" s="1"/>
  <c r="CN246" i="1"/>
  <c r="CN225" i="1" s="1"/>
  <c r="CS316" i="1"/>
  <c r="CS303" i="1" s="1"/>
  <c r="CN193" i="1"/>
  <c r="CS246" i="1"/>
  <c r="CS225" i="1" s="1"/>
  <c r="CN88" i="1"/>
  <c r="CS127" i="1"/>
  <c r="CS126" i="1" s="1"/>
  <c r="CS140" i="1"/>
  <c r="CS88" i="1"/>
  <c r="CN12" i="1"/>
  <c r="CN64" i="1"/>
  <c r="CN140" i="1"/>
  <c r="CN111" i="1"/>
  <c r="CS12" i="1"/>
  <c r="CS64" i="1"/>
  <c r="CS111" i="1"/>
  <c r="CI401" i="1"/>
  <c r="CI402" i="1" s="1"/>
  <c r="CS173" i="1" l="1"/>
  <c r="CS401" i="1" s="1"/>
  <c r="CN173" i="1"/>
  <c r="CN401" i="1" s="1"/>
</calcChain>
</file>

<file path=xl/comments1.xml><?xml version="1.0" encoding="utf-8"?>
<comments xmlns="http://schemas.openxmlformats.org/spreadsheetml/2006/main">
  <authors>
    <author>Репьева Анастасия Викторовна</author>
  </authors>
  <commentList>
    <comment ref="N51" authorId="0" shapeId="0">
      <text>
        <r>
          <rPr>
            <b/>
            <sz val="20"/>
            <color indexed="81"/>
            <rFont val="Tahoma"/>
            <family val="2"/>
            <charset val="204"/>
          </rPr>
          <t>Репьева Анастасия Викторовна:</t>
        </r>
        <r>
          <rPr>
            <sz val="20"/>
            <color indexed="81"/>
            <rFont val="Tahoma"/>
            <family val="2"/>
            <charset val="204"/>
          </rPr>
          <t xml:space="preserve">
из итогов</t>
        </r>
      </text>
    </comment>
    <comment ref="N369" authorId="0" shapeId="0">
      <text>
        <r>
          <rPr>
            <b/>
            <sz val="20"/>
            <color indexed="81"/>
            <rFont val="Tahoma"/>
            <family val="2"/>
            <charset val="204"/>
          </rPr>
          <t>Заменить на "Разработка мастер-плана ТРК "Арктический". В рамках написания мастер-плана ТРК "Арктический" в 2020 году проведены следующие исследования:
1) маркетинговое исследование территории / анализ рынка потребительских услуг с учетом специфики перспективных туристских укрупненных инвестиционных проектов и перспективных видов туризма, анализ существующего туристско-рекреационного использования территории, анализ количества, качества и типа туристических объектов, используемых для эффективной реализации инвестиционного проекта, SWOT - анализ, анализ земельного фонда ТРК "Арктический", специфика формирования туристских потоков и приоритетных видов туризма;
2) анализ существующих практик развития туризма в арктической зоне и анализ успешных примеров кластерного развития;
3) доработка концепции развития инвестиционного проекта ТРК "Арктический" (приведено обоснование создания инвестиционного проекта Кластера, определены ключевые показатели социально-экономических эффектов, собран перечень мероприятий для включения инвестиционного проекта по созданию туристского кластера и перечень приоритетных инвестиционных проектов на уровне субъекта Российской Федерации, обоснованы необходимость модернизации порта "Дудинка", необходимость развития малой авиации придания аэропорту "Норильск" имени Николая Урванцева международного статуса;
4) определение предельно-достижимых объектов количественных показателей Кластера;
5) модель взаимодействия участников Кластера.
На 2021 год запланирована проработка II этапа мастер-плана Кластера направленного на решение следующих задач:
1) определение технико-экономических показателей и создание инвестиционной карты Кластера до 2030 г.</t>
        </r>
      </text>
    </comment>
    <comment ref="N385" authorId="0" shapeId="0">
      <text>
        <r>
          <rPr>
            <b/>
            <sz val="25"/>
            <color indexed="81"/>
            <rFont val="Tahoma"/>
            <family val="2"/>
            <charset val="204"/>
          </rPr>
          <t>1. 12-14 марта 2020 г., г. Москва, Международная туристическая выставка "Интурмаркет-2020". Участие в составе команды Красноярского края. Представление туристического потенциала полуострова Таймыр.
2. Июль-октябрь 2020 г., г. Москва и г. Тверь, участие во Всероссийском конкурсе на создание туристско-рекреационных кластеров и развитие экотуризма в России.
4. 18-22 сентября 2020 г., г. Санкт-Петербург, Первый международный арктический медиа-конгресс, На конгрессе было представлено два доклада о туристическом потенциале ТРК "Арктический".
5. 27 сентября 2020 г., Круглый стол для представителей туриндустрии "Подготовка к конкурсу для получения грантов на развитие внутреннего и въездного туризма в РФ от Ростуризма".
6. 28-30 октября 2020 г., г. Сочи, III Международная конференция "Природный туризм: глобальные вызовы и перспективы России". На конференции был представлен опят создания туристического кластера и потенциала ТРК "Арктический".
7. 12-15 ноября 2020 г., г. Норильск и г. Дудинка, Информационный тур для блогеров под Фестиваль коренных народов Крайнего Севера "Большой Аргиш".
8. 25 ноября 2020 г., Прямая линия гостеприимства АСИ. Красноярский край. На конференции были представлены туристические возможности ТРК "Арктический".
9. 25-27 ноября 2020 г., 3 декабря 2020 г., г. Москва, "Дни Арктики и Антарктики в Москве".
10. 10-13 декабря 2020 г., г. Санкт-Петербург, X Международный форум Арктика Настоящее и будущее.</t>
        </r>
      </text>
    </comment>
  </commentList>
</comments>
</file>

<file path=xl/sharedStrings.xml><?xml version="1.0" encoding="utf-8"?>
<sst xmlns="http://schemas.openxmlformats.org/spreadsheetml/2006/main" count="7560" uniqueCount="1756">
  <si>
    <t>План мероприятий по реализации Стратегии социально-экономического развития муниципального образования город Норильск до 2030 года</t>
  </si>
  <si>
    <t>№ п/п</t>
  </si>
  <si>
    <t>Наименование цели, задачи, мероприятия</t>
  </si>
  <si>
    <t>Содержание мероприятия</t>
  </si>
  <si>
    <t>Ответственный исполнитель</t>
  </si>
  <si>
    <t>Срок реализации</t>
  </si>
  <si>
    <t>Ожидаемые результаты</t>
  </si>
  <si>
    <t xml:space="preserve">Объем финансового обеспечения, (тыс. руб.) </t>
  </si>
  <si>
    <t>Показатель эффективности
 (целевой индикатор)</t>
  </si>
  <si>
    <t>Ед. изм.</t>
  </si>
  <si>
    <t>I этап</t>
  </si>
  <si>
    <t xml:space="preserve"> II этап</t>
  </si>
  <si>
    <t>III этап</t>
  </si>
  <si>
    <t>IV этап</t>
  </si>
  <si>
    <t>Всего</t>
  </si>
  <si>
    <t>МБ/ДФ</t>
  </si>
  <si>
    <t>КБ</t>
  </si>
  <si>
    <t>ФБ</t>
  </si>
  <si>
    <t>ВнБ</t>
  </si>
  <si>
    <t>МБ</t>
  </si>
  <si>
    <t>МБ / ДФ</t>
  </si>
  <si>
    <t>Цель 1. Развитие социальных инфраструктур и человеческого капитала</t>
  </si>
  <si>
    <t>1.1</t>
  </si>
  <si>
    <t>Повышение доступности и качества образовательных услуг посредством создания условий, обеспечивающих равные возможности для современного качественного образования и успешной социализации, и самореализации граждан, обеспечение подготовки специалистов для работы в арктических условиях</t>
  </si>
  <si>
    <t>1.1.1</t>
  </si>
  <si>
    <t>Обеспечение доступного высококачественного образования, соответствующего потребностям граждан, здоровьесбережение обучающихся, соблюдение прав и законных интересов несовершеннолетних в области опеки и попечительства</t>
  </si>
  <si>
    <t>1.1.1.22</t>
  </si>
  <si>
    <t>Открытие нового детского сада в Центральном районе</t>
  </si>
  <si>
    <t>МКУ "УКРиС"</t>
  </si>
  <si>
    <t>2013-2020</t>
  </si>
  <si>
    <t>Количество вновь создаваемых мест в дошкольном учреждении</t>
  </si>
  <si>
    <t>ед.</t>
  </si>
  <si>
    <t>1.1.1.23</t>
  </si>
  <si>
    <t>Открытие нового детского сада в районе Талнах</t>
  </si>
  <si>
    <t>2014-2019</t>
  </si>
  <si>
    <t>1.1.1.24</t>
  </si>
  <si>
    <t>2016-2025</t>
  </si>
  <si>
    <t>1.1.1.25</t>
  </si>
  <si>
    <t>Открытие нового детского сада в районе Кайеркан</t>
  </si>
  <si>
    <t>2022-2025</t>
  </si>
  <si>
    <t>1.1.1.26</t>
  </si>
  <si>
    <t>2022-2026</t>
  </si>
  <si>
    <t>1.1.1.27</t>
  </si>
  <si>
    <t>2026-2030</t>
  </si>
  <si>
    <t>1.1.1.28</t>
  </si>
  <si>
    <t>Открытие школы нового образца в Центральном районе</t>
  </si>
  <si>
    <t>Количество вновь создаваемых мест в общеобразовательном учреждении</t>
  </si>
  <si>
    <t>1.1.1.31</t>
  </si>
  <si>
    <t>Строительство здания профессиональной образовательной организации.</t>
  </si>
  <si>
    <t>2016-2026</t>
  </si>
  <si>
    <t>1.1.1.2</t>
  </si>
  <si>
    <t>Создание современной инфраструктуры школьного пространства</t>
  </si>
  <si>
    <t>ежегодно</t>
  </si>
  <si>
    <t>Количество общеобразовательных учреждений</t>
  </si>
  <si>
    <t xml:space="preserve">шт. </t>
  </si>
  <si>
    <t>1.1.1.14</t>
  </si>
  <si>
    <t>Обновление материально-технического обеспечения (компьютерного парка) для выполнения задач по цифровизации образовательного процесса</t>
  </si>
  <si>
    <t>Закупка компьютерной и оргтехники, лицензионного программного обеспечения в соответствии с планами ФХД.</t>
  </si>
  <si>
    <t xml:space="preserve">% </t>
  </si>
  <si>
    <t>1.1.1.16</t>
  </si>
  <si>
    <t>Обеспечение специальных кабинетов материально-техническими условиями для качественной реализации программы предметной области "Технология".</t>
  </si>
  <si>
    <t>Закупка материально-технического оборудования, обеспечивающего качество и полноту реализации образовательных программ предметной области "Технология".</t>
  </si>
  <si>
    <t>%</t>
  </si>
  <si>
    <t>1.1.1.7</t>
  </si>
  <si>
    <t>Формирование образовательной цифровой среды 
Ведение электронных дневников</t>
  </si>
  <si>
    <t xml:space="preserve">Использование различных видов электронных сервисов, обеспечивающих в электронном виде информирование обучающихся и их родителей (законных представителей) о результатах реализации образовательных программ, а также поддержку иных дополнительных функций — электронные портфолио учащихся, новостные ленты, социальные сети и так далее. </t>
  </si>
  <si>
    <t>1.1.1.8</t>
  </si>
  <si>
    <t>Формирование образовательной цифровой среды
Ведение электронных журналов успеваемости</t>
  </si>
  <si>
    <t>Ведение электронных сервисов, обеспечивающих в электронном виде учёт выполнения образовательной программы, в том числе успеваемости и посещаемости обучающихся.</t>
  </si>
  <si>
    <t>1.1.1.11</t>
  </si>
  <si>
    <t>Использование ресурсов  портала "Российская электронная школа"</t>
  </si>
  <si>
    <t>1.1.1.13</t>
  </si>
  <si>
    <t>Проведение очных, дистанционных консультаций по различным аспектам цифровизации образования.</t>
  </si>
  <si>
    <t>МБУ "Методический центр"</t>
  </si>
  <si>
    <t>чел.</t>
  </si>
  <si>
    <t>1.1.1.9</t>
  </si>
  <si>
    <t>Реализация мероприятий  проекта "Финансовая грамотность"</t>
  </si>
  <si>
    <t>1.1.1.10</t>
  </si>
  <si>
    <t>Дистанционное прохождение образовательных программ и модулей на учебной платформе Федерального центра тестирования и др.</t>
  </si>
  <si>
    <t>1.1.1.15</t>
  </si>
  <si>
    <t>Обучение и повышение квалификации педагогических работников образовательных учреждений по приоритетным направлениям развития образования, современным образовательным технологиям, в том числе по использованию цифровых технологий в образовательной деятельности</t>
  </si>
  <si>
    <t>1.1.1.1</t>
  </si>
  <si>
    <t>1.1.1.5</t>
  </si>
  <si>
    <t>1.1.1.29</t>
  </si>
  <si>
    <t>2025-2030</t>
  </si>
  <si>
    <t>Охват детей в возрасте 5-18 лет дополнительным образованием в общей численности детей данной возрастной группы</t>
  </si>
  <si>
    <t>1.1.1.30</t>
  </si>
  <si>
    <t>2022-2027</t>
  </si>
  <si>
    <t>1.1.1.32</t>
  </si>
  <si>
    <t>1.1.1.6</t>
  </si>
  <si>
    <t>Приобретение нового технического оборудования для качественной деятельности телестудии.</t>
  </si>
  <si>
    <t>2020-2030</t>
  </si>
  <si>
    <t>1.1.1.17</t>
  </si>
  <si>
    <t>Формирование и реализация эффективных механизмов внутрикорпоративных коммуникаций в подразделениях ЗФ и РОКС НН, входящих в Группу компаний «Норильский никель», их филиалах, а также филиалах Компании, расположенных на территории муниципального образования город Норильск и Таймырского Долгано-Ненецкого муниципального района</t>
  </si>
  <si>
    <t>Управление корпоративных проектов ЗФ ПАО "ГМК "Норильский никель"</t>
  </si>
  <si>
    <t>Ежегодно</t>
  </si>
  <si>
    <t>1.1.1.18</t>
  </si>
  <si>
    <t>Поддержка общественных инициатив на грантовой основе</t>
  </si>
  <si>
    <t>Управление благотворительных программ ЗФ ПАО "ГМК "Норильский никель"</t>
  </si>
  <si>
    <t xml:space="preserve">Ежегодно </t>
  </si>
  <si>
    <t>1.1.1.19</t>
  </si>
  <si>
    <t>Популяризация науки и техники среди молодежи, поддержка креативных инженерных идей, инновационной активности школьников, демонстрация перспективы развития отечественных технологий</t>
  </si>
  <si>
    <t>Развитие ключевых социальных компетенций школьников через вовлечение в процесс социального проектирования</t>
  </si>
  <si>
    <t>1.1.1.3</t>
  </si>
  <si>
    <t>Организация участия талантливых и одаренных детей в краевых и федеральных олимпиадах, турнирах, конференциях, фестивалях, конкурсах, спортивных соревнованиях и т.д.</t>
  </si>
  <si>
    <t>Финансирования мероприятий по организации выездов обучающихся за пределы муниципального образования город Норильск на соревнования, конкурсы, конференции, фестивали и прочие мероприятия по направлениям: интеллектуальное, творческое, спортивное.</t>
  </si>
  <si>
    <t>Кол-во обучающихся, получивших финансовую поддержку на организацию выезда за пределы территории МО г. Норильск</t>
  </si>
  <si>
    <t>1.1.1.4</t>
  </si>
  <si>
    <t>Развитие олимпиадного движения через организацию мероприятий всероссийской олимпиады школьников.</t>
  </si>
  <si>
    <t>Модернизация материально-технической базы муниципальных, автономных учреждений дополнительного образования , подведомственных Управлению общего и дошкольного образования Администрации города Норильска, обеспечивающей проведение практических этапов всероссийской олимпиады школьников.</t>
  </si>
  <si>
    <t xml:space="preserve">Обеспеченность учреждений дополнительного образования </t>
  </si>
  <si>
    <t>Создание новых специализированных профессионально ­ ориентированных классов «МЧС-резерв» на территории муниципального образования город Норильск (на примере МБОУ "СШ № 31")</t>
  </si>
  <si>
    <t xml:space="preserve">Увеличение числа классов «МЧС-резерв» и учащихся этих классов </t>
  </si>
  <si>
    <t>класс/чел.</t>
  </si>
  <si>
    <t>Создание филиала КГОУ ДПО «Учебно-методический центр по гражданской обороне, чрезвычайным ситуациям и пожарной безопасности Красноярского края» в муниципальном образовании город Норильск. (Данные филиалы уже созданы в ряде городов: Минусинск, Канск, Ачинск и др.)</t>
  </si>
  <si>
    <t>КГОУ ДПО «Учебно-методический центр по гражданской обороне, чрезвычайным ситуациям и пожарной безопасности Красноярского края»</t>
  </si>
  <si>
    <t xml:space="preserve">С созданием филиала будет отсутствовать необходимость отправлять специалистов (около 50 человек в год) на подготовку в г. Красноярск, что позволит сократить финансовые затраты на перелет, проживание и подготовку специалистов. </t>
  </si>
  <si>
    <t>да/нет</t>
  </si>
  <si>
    <t>да</t>
  </si>
  <si>
    <t>1.1.2</t>
  </si>
  <si>
    <t>Увеличение вклада профессионального образования в социально-экономическую и культурную модернизацию, обеспечение «востребованности» каждого обучающегося экономикой и обществом, совершенствование организационной и финансово-экономической деятельности образовательных организаций</t>
  </si>
  <si>
    <t>Направление граждан для получения профессионального обучения и дополнительного профессионального образования</t>
  </si>
  <si>
    <t>КГКУ "ЦЗН г.Норильска"</t>
  </si>
  <si>
    <t>Численность граждан, приступивших к профессиональному обучению и дополнительному профессиональному образованию</t>
  </si>
  <si>
    <t>2019-2024</t>
  </si>
  <si>
    <t>Сохранение занятости граждан предпенсионного возраста</t>
  </si>
  <si>
    <t>1.1.2.3</t>
  </si>
  <si>
    <t>Содействие в разработке стратегии развития НГИИ и реализации программы повышения квалификации преподавательского состава</t>
  </si>
  <si>
    <t>Реализуется стратегия развития НГИИ и программа повышения квалификации преподавательского состава</t>
  </si>
  <si>
    <t>1.1.2.4</t>
  </si>
  <si>
    <t>Создание и поддержка системы подготовки кадров туристической области</t>
  </si>
  <si>
    <t>Повышение квалификации кадров туристической области.</t>
  </si>
  <si>
    <t>1.2</t>
  </si>
  <si>
    <t>Сохранение исторического и культурного наследия и его использование для формирования гармонично развитой личности посредством повышения качества и доступности услуг отрасли культуры</t>
  </si>
  <si>
    <t>1.2.1</t>
  </si>
  <si>
    <t>Сохранение и эффективное использование культурного наследия муниципального образования город Норильск</t>
  </si>
  <si>
    <t>1.2.1.1</t>
  </si>
  <si>
    <t>Создание электронного каталога библиотечных фондов (оцифровка фондов), традиционных и электронных информационных ресурсов</t>
  </si>
  <si>
    <t>Внедрение современных видов услуг, предоставляемых населению учреждениями.</t>
  </si>
  <si>
    <t>УДКиИ</t>
  </si>
  <si>
    <t>-</t>
  </si>
  <si>
    <t>1.2.1.2</t>
  </si>
  <si>
    <t>Создание Арктического музея современного искусства</t>
  </si>
  <si>
    <t>2018-2020</t>
  </si>
  <si>
    <t>2019-2022</t>
  </si>
  <si>
    <t>Посещаемость музейных учреждений на платных мероприятиях</t>
  </si>
  <si>
    <t>посещений на 1 жителя в год</t>
  </si>
  <si>
    <t>Удельный вес населения, участвующего в платных культурно-досуговых мероприятиях, проводимых государственными (муниципальными) организациями культуры (количество посетителей культурно-досуговых центров (без кинотеатра «Родина») на платных мероприятиях и киносеансах)</t>
  </si>
  <si>
    <t>1.2.2</t>
  </si>
  <si>
    <t>Расширение спектра услуг, предоставляемых учреждениями культуры на территории</t>
  </si>
  <si>
    <t>1.2.2.1</t>
  </si>
  <si>
    <t>«Лаборатория современной драматургии «Полярка»</t>
  </si>
  <si>
    <t>2019-2021</t>
  </si>
  <si>
    <t>Количество участников мероприятия</t>
  </si>
  <si>
    <t>1.2.2.2</t>
  </si>
  <si>
    <t xml:space="preserve">Фестиваль Арктических музеев </t>
  </si>
  <si>
    <t>1.2.2.3</t>
  </si>
  <si>
    <t>Музыкальный фестиваль оркестровой музыки</t>
  </si>
  <si>
    <t>1.2.2.4</t>
  </si>
  <si>
    <t>Фестиваль "Большой Аргиш"</t>
  </si>
  <si>
    <t>1.2.2.5</t>
  </si>
  <si>
    <t xml:space="preserve">Фестиваль света </t>
  </si>
  <si>
    <t>1.2.2.6</t>
  </si>
  <si>
    <t>Целевая поддержка некоммерческих организаций, в том числе представляющих интересы социально уязвимых категорий населения</t>
  </si>
  <si>
    <t>Благотворительная поддержка организаций и учреждений г. Норильска для реализации социально значимой деятельности по направлению развития сфер культуры, спорта, образования, здравоохранения, молодежной политики, а также поддержки социально уязвимых категорий населения.</t>
  </si>
  <si>
    <t xml:space="preserve">Реконструкция нежилого отдельно стоящего здания, г. Норильск, Центральный район, ул. Ленинградская, д. 7 А </t>
  </si>
  <si>
    <t>МКУ "УКРиС", УДКиИ</t>
  </si>
  <si>
    <t>2018-2022</t>
  </si>
  <si>
    <t>1.2.3</t>
  </si>
  <si>
    <t>Внедрение эффективных моделей межведомственного взаимодействия в реализации муниципальной культурной политики, развитие новой системы финансирования отрасли с использованием механизмов многоканального финансирования</t>
  </si>
  <si>
    <t>1.2.3.2</t>
  </si>
  <si>
    <t>Реализация культурных проектов межмуниципального сотрудничества с учётом традиционных культурных связей, сложившихся с Таймырским Долгано-Ненецким муниципальным районом</t>
  </si>
  <si>
    <t>Охват населения событийными мероприятиями</t>
  </si>
  <si>
    <t>Развитие системы многоканального финансирования за счет развития государственно-частного партнерства, благотворительной деятельности, меценатства и иных альтернативных механизмов финансирования культуры</t>
  </si>
  <si>
    <t>1.3</t>
  </si>
  <si>
    <t>Создание новых возможностей для сохранения и укрепления здоровья каждого человека, поддержания активной долголетней профессиональной, социальной и личной жизни всех членов общества через повышение доступности и качества медицинской помощи и совершенствование сети спортивных сооружений</t>
  </si>
  <si>
    <t>1.3.1</t>
  </si>
  <si>
    <t xml:space="preserve">Профилактика заболеваемости населения, снижение темпов роста заболеваемости населения города </t>
  </si>
  <si>
    <t>1.3.2</t>
  </si>
  <si>
    <t>Совершенствование службы родовспоможения в городе Норильске</t>
  </si>
  <si>
    <t>1.3.3</t>
  </si>
  <si>
    <t>Повышение качества оказания медицинской помощи, эффективности и результативности процессов управления системой здравоохранения путем информатизации здравоохранения</t>
  </si>
  <si>
    <t>1.3.4</t>
  </si>
  <si>
    <t>Модернизация инфраструктуры медицинских организаций, технологическое развитие отрасли, применение инновационных медицинских технологий</t>
  </si>
  <si>
    <t>1.3.5</t>
  </si>
  <si>
    <t>Кадровое обеспечение системы здравоохранения и снижение дефицита медицинских кадров</t>
  </si>
  <si>
    <t>1.3.6</t>
  </si>
  <si>
    <t>Повышение качества и уровня доступности услуг учреждений спорта</t>
  </si>
  <si>
    <t>1.3.6.1</t>
  </si>
  <si>
    <t>Развитие спорта высших достижений, подготовка спортивного резерва</t>
  </si>
  <si>
    <t>Управление по спорту Администрации города Норильска</t>
  </si>
  <si>
    <t>Доля занимающихся по программам спортивной подготовки в физкультурно-спортивных организациях от общего количества занимающихся в физкультурно-спортивных организациях</t>
  </si>
  <si>
    <t>Количество физкультурно-оздоровительных и спортивных мероприятий, проведенных на территории</t>
  </si>
  <si>
    <t>1.3.6.3</t>
  </si>
  <si>
    <t>Развитие военно-прикладных и технических видов спорта</t>
  </si>
  <si>
    <t>Пропаганда и реализация здорового образа жизни, внедрение Всероссийского физкультурно-спортивного комплекса ГТО, проведение физкультурно-спортивных мероприятий, развитие адаптивной физической культуры</t>
  </si>
  <si>
    <t>Доля граждан, выполнивших нормативы ВФСК ГТО, от общей численности населения, принявшего участия в сдаче нормативов</t>
  </si>
  <si>
    <t>Численность населения, занимающихся физической культурой и спортом</t>
  </si>
  <si>
    <t xml:space="preserve">Удельный вес лиц с ограниченными возможностями здоровья и инвалидов, систематически занимающихся спортом, в общей численности данной категории населения </t>
  </si>
  <si>
    <t>1.3.7</t>
  </si>
  <si>
    <t>Улучшение обеспеченности населения спортивными сооружениями</t>
  </si>
  <si>
    <t>1.3.7.1</t>
  </si>
  <si>
    <t>Соглашение между Красноярским краем, ПАО ГМК "Норильский никель" и МО город Норильск</t>
  </si>
  <si>
    <t>2017-2020</t>
  </si>
  <si>
    <t>1.3.7.3</t>
  </si>
  <si>
    <t>Строительство спортивно-оздоровительного комплекса в жилом образовании Оганер</t>
  </si>
  <si>
    <t>2025-2027</t>
  </si>
  <si>
    <t>1.3.7.4</t>
  </si>
  <si>
    <r>
      <t>Строительство быстровозводимой крытой спортивной площадки</t>
    </r>
    <r>
      <rPr>
        <u/>
        <sz val="15"/>
        <rFont val="Times New Roman"/>
        <family val="1"/>
        <charset val="204"/>
      </rPr>
      <t/>
    </r>
  </si>
  <si>
    <t>2024-2026</t>
  </si>
  <si>
    <t>1.3.7.6</t>
  </si>
  <si>
    <t xml:space="preserve">Строительство физкультурно-оздоровительного комплекса поселка Снежногорск, в районе ул. Гидростроительной </t>
  </si>
  <si>
    <t>В результате строительства физкультурно-оздоровительного комплекса на территории поселка Снежногорск появится спортивный зал, соответствующий стандартам (размерам), установленным для занятий востребованными коллективными видами спорта (волейбол, баскетбол, мини-футбол и др.). 
Мощность объекта: общая площадь 1175,8 м. кв., площадь спортзала 30м*18 м., 2 этажа .</t>
  </si>
  <si>
    <t>2026-2029</t>
  </si>
  <si>
    <t>1.3.7.2</t>
  </si>
  <si>
    <t>МБУ «Стадион «Заполярник» - строительство холодного склада</t>
  </si>
  <si>
    <t>Строительство холодного склада будет способствовать повышению качества и уровня доступности услуг на территории.
Мощность объекта: размер 10м*31м*5м</t>
  </si>
  <si>
    <t>2023-2024</t>
  </si>
  <si>
    <t>Повышения качества и уровня доступности услуг</t>
  </si>
  <si>
    <t>1.3.7.5</t>
  </si>
  <si>
    <t>2022-2028</t>
  </si>
  <si>
    <t>1.4</t>
  </si>
  <si>
    <t>Формирование молодого поколения, нацеленного на профессиональный рост, самообеспечение и самосовершенствование путем создания условий для развития его потенциала в интересах развития муниципального образования город Норильск</t>
  </si>
  <si>
    <t>1.4.1</t>
  </si>
  <si>
    <t>Создание условий для развития потенциала молодежи и его реализации в интересах развития муниципального образования город Норильск</t>
  </si>
  <si>
    <t>1.4.1.1</t>
  </si>
  <si>
    <t>Охват молодежи</t>
  </si>
  <si>
    <t>1.4.1.2</t>
  </si>
  <si>
    <t>1.4.1.3</t>
  </si>
  <si>
    <t>1.4.2</t>
  </si>
  <si>
    <t>Формирование здорового молодого поколения, нацеленного на профессиональный рост, самообеспечение и самосовершенствование</t>
  </si>
  <si>
    <t>Число участников проекта</t>
  </si>
  <si>
    <t>Молодежная биржа труда</t>
  </si>
  <si>
    <t>1.4.3</t>
  </si>
  <si>
    <t>Профилактика безнадзорности и правонарушений несовершеннолетних на территории муниципального образования город Норильск в летний период</t>
  </si>
  <si>
    <t>1.4.3.1</t>
  </si>
  <si>
    <t>Трудоустройство на временную работу по направлению органов службы несовершеннолетних граждан в возрасте от 14 до 18 лет в свободное от учебы время</t>
  </si>
  <si>
    <t>КГКУ "ЦЗН г. Норильска", Администрация города Норильска</t>
  </si>
  <si>
    <t>Охват несовершеннолетних граждан в возрасте от 14 до 18 лет  мероприятиями по организации общественно-полезной деятельности несовершеннолетних в трудовых отрядах школьников в летний период</t>
  </si>
  <si>
    <t>1.4.3.2</t>
  </si>
  <si>
    <t>Краевые трудовые отряды старшеклассников</t>
  </si>
  <si>
    <t>МБУ "Молодежный центр"</t>
  </si>
  <si>
    <t>Количество трудоустроенной молодежи</t>
  </si>
  <si>
    <t>1.4.3.3</t>
  </si>
  <si>
    <t>1.4.3.4</t>
  </si>
  <si>
    <t>1.5</t>
  </si>
  <si>
    <t>Совершенствование системы муниципального управления, поддержка и развитие форм общественного участия и самоорганизации путем создания правовых, информационных, организационных, инфраструктурных условий</t>
  </si>
  <si>
    <t>1.5.1</t>
  </si>
  <si>
    <t>Создание и обеспечение правовых, экономических и организационных условий эффективной деятельности социально ориентированных некоммерческих организаций</t>
  </si>
  <si>
    <t>1.5.1.1</t>
  </si>
  <si>
    <t>Формирование благоприятных условий для развития деятельности СОНКО, направленных на решение актуальных социальных проблем территории</t>
  </si>
  <si>
    <t>Количество СОНКО, получивших муниципальные формы поддержки</t>
  </si>
  <si>
    <t>Поддержка социальных проектов, в т.ч. направленных на развитие межнационального согласия:
1. Проведение городского конкурса социальных проектов среди СОНКО муниципального образования город Норильск. По итогам конкурса определяются 2 победителя.
2. Проведение городского конкурса социальных проектов среди национально-культурных объединений, осуществляющих свою деятельность на территории муниципального образования город Норильск. По итогам конкурса определяется 1 победитель.</t>
  </si>
  <si>
    <t>Количество поддержанных социальных проектов, в т.ч. направленных на развитие межнационального согласия</t>
  </si>
  <si>
    <t>1.5.2</t>
  </si>
  <si>
    <t xml:space="preserve">Создание условий для совершенствования эффективности деятельности национально-культурных объединений в области развития межнационального согласия на территории муниципального образования город </t>
  </si>
  <si>
    <t>1.5.2.1</t>
  </si>
  <si>
    <t>Укрепление роли 
гражданского единства, гармонизации межнациональных отношений, создание условий для успешной межкультурной коммуникации на территории</t>
  </si>
  <si>
    <t>2019-2030</t>
  </si>
  <si>
    <t xml:space="preserve">Проведено конференций, концертов, семинаров, встреч с соотечественниками и т.д. </t>
  </si>
  <si>
    <t>кол-во.</t>
  </si>
  <si>
    <t xml:space="preserve">Количество национально-культурных объединений, принявших участие в мероприятиях, направленных на развитие межнационального согласия </t>
  </si>
  <si>
    <t>1.5.3</t>
  </si>
  <si>
    <t>Совершенствование системы муниципального управления</t>
  </si>
  <si>
    <t>1.5.3.1</t>
  </si>
  <si>
    <t>Реконструкция нежилого отдельно стоящего здания, г. Норильск, Центральный район, ул. Завенягина, д. 3</t>
  </si>
  <si>
    <t>2018-2019</t>
  </si>
  <si>
    <t>1.6</t>
  </si>
  <si>
    <t>Совершенствование трудового потенциала территории путем улучшения демографической структуры населения, сбалансированности рынка труда и реформирования социальной политики</t>
  </si>
  <si>
    <t>1.6.1</t>
  </si>
  <si>
    <t>Внедрение механизмов привлечения высококвалифицированных трудовых ресурсов с семьями</t>
  </si>
  <si>
    <t>1.6.1.1</t>
  </si>
  <si>
    <t>Привлечение на постоянную работу квалифицированных работников из других регионов РФ</t>
  </si>
  <si>
    <t>2019-2020</t>
  </si>
  <si>
    <t>Участие работодателей в региональной программе повышения мобильности трудовых ресурсов</t>
  </si>
  <si>
    <t>1.6.1.2</t>
  </si>
  <si>
    <t xml:space="preserve">Реализация муниципальной программы «Приглашение специалистов, обладающих специальностями, являющимися дефицитными для муниципальных и иных учреждений муниципального образования город Норильск» </t>
  </si>
  <si>
    <t>1. Обеспечение муниципальных учреждений муниципального образования город Норильск, а также краевых государственных учреждений здравоохранения, расположенных на территории муниципального образования город Норильск, профессиональными кадрами путем привлечения (трудоустройства) специалистов, обладающих специальностями, являющимися дефицитными для указанных учреждений, и закрепление их в этих учреждениях для достижения уровня укомплектованности, позволяющего обеспечить доступное и качественное предоставление услуг населению.
2. Осуществление надлежащей организации кадровой политики, направленной на принятие мер по снижению уровня кадрового дефицита по должностям (профессиям), предусмотренным Перечнем должностей (профессий), требующих наличия специальностей, являющихся дефицитными для учреждений, утвержденным постановлением Администрации города Норильска.</t>
  </si>
  <si>
    <t>Управление по персоналу
Администрации города Норильска</t>
  </si>
  <si>
    <t>Количество привлеченных и трудоустроенных специалистов</t>
  </si>
  <si>
    <t>1.6.2</t>
  </si>
  <si>
    <t>Переселение населения старше трудоспособного возраста, стимулирование естественного прироста населения</t>
  </si>
  <si>
    <t>1.6.2.1</t>
  </si>
  <si>
    <t xml:space="preserve">Переселение граждан в благоприятные для проживания регионы Российской Федерации </t>
  </si>
  <si>
    <t>Управление жилищного фонда Администрации города Норильска. В 2019 и 2020 годах главный распорядитель бюджетных средств министерство строительства Красноярского края</t>
  </si>
  <si>
    <t xml:space="preserve">Количество граждан, получивших социальную выплату для приобретения жилья в благоприятных для проживания регионах Российской Федерации </t>
  </si>
  <si>
    <t>семьи</t>
  </si>
  <si>
    <t>Количество жилых помещений, поступивших в муниципальную собственность от получателей социальных выплат</t>
  </si>
  <si>
    <t>жилые помещения</t>
  </si>
  <si>
    <t>1.6.3</t>
  </si>
  <si>
    <t>Систематическая планомерная профориентационная работа</t>
  </si>
  <si>
    <t>1.6.3.1</t>
  </si>
  <si>
    <t xml:space="preserve">Организация профессиональной ориентации граждан </t>
  </si>
  <si>
    <t>Численность граждан, получивших государственную услугу по профориентации</t>
  </si>
  <si>
    <t>1.6.3.2</t>
  </si>
  <si>
    <t>образовательные организации, КГКУ "ЦЗН г. Норильска"</t>
  </si>
  <si>
    <t>Создание системы, способствующей удовлетворению потребности рынка труда в квалицированных кадрах, а также содействие профессиональной самореализации</t>
  </si>
  <si>
    <t>1.6.3.3</t>
  </si>
  <si>
    <t>Организация и развитие добровольческого профориентационного движения Красноярского края "Твои горизонты"</t>
  </si>
  <si>
    <t>Повышение доступности профориентационных услуг подросткам</t>
  </si>
  <si>
    <t>1.6.3.4</t>
  </si>
  <si>
    <t>Профессиональная ориентация молодежи в рамках проекта "Начни свою трудовую деятельность с Арктики и Дальнего Востока"</t>
  </si>
  <si>
    <t>Целенаправленное формирование ориентации молодежи на получение востребованных профессий  и трудоустройство в Арктической зоне</t>
  </si>
  <si>
    <t>1.6.4</t>
  </si>
  <si>
    <t>Повышение конкурентоспособности на рынке труда молодежи, выпускников, инвалидов и других граждан, испытывающих трудности в поиске работы, и увеличение уровня занятости населения</t>
  </si>
  <si>
    <t>1.6.4.1</t>
  </si>
  <si>
    <t>Содействие в трудоустройстве выпускников образовательных организаций</t>
  </si>
  <si>
    <t>Доля трудоустроенных выпускников образовательных организаций в общей численности выпускников, обратившихся за содействием в поиске подходящей работы</t>
  </si>
  <si>
    <t>Количество трудоустроенных граждан, зарегистрированных в КГКУ «ЦЗН г. Норильска» безработных и ищущих работу граждан (общественные работы), безработных и ищущих работу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(временное трудоустройство)</t>
  </si>
  <si>
    <t>Стажировка выпускников образовательных организаций и граждан, ищущих работу</t>
  </si>
  <si>
    <t>Численность трудоустроенных выпускников</t>
  </si>
  <si>
    <t>1.6.5</t>
  </si>
  <si>
    <t>Повышение уровня жизни и социальной защищенности жителей муниципального образования город Норильск</t>
  </si>
  <si>
    <t>1.6.5.1</t>
  </si>
  <si>
    <t>Строительство здания для Управления социальной политики Администрации города Норильска (в Центральном районе города Норильск, в шаговой доступности от автобусных остановок)</t>
  </si>
  <si>
    <t>2024-2027</t>
  </si>
  <si>
    <t>Расширение и модернизация производственных мощностей с целью повышения качества и доступности социальных услуг</t>
  </si>
  <si>
    <t>1.6.5.2</t>
  </si>
  <si>
    <t>Создание условий для повышения эффективности психокоррекционной и психопрофилактической работы с получателями услуг, реализация проекта  "По волнам цвета и света"</t>
  </si>
  <si>
    <t>МБУ РЦ "Виктория"</t>
  </si>
  <si>
    <t>Разработка, внедрение, реализация проекта "магазин-школа", "кафе-школа"</t>
  </si>
  <si>
    <t>Администрация города Норильска</t>
  </si>
  <si>
    <t>2020-2025</t>
  </si>
  <si>
    <t>Модернизация производственных мощностей с целью повышения качества и доступности социальных услуг</t>
  </si>
  <si>
    <t>1.6.5.5</t>
  </si>
  <si>
    <t>2021-2023</t>
  </si>
  <si>
    <t>1.6.5.7</t>
  </si>
  <si>
    <t>1.6.5.9</t>
  </si>
  <si>
    <t>1.6.5.10</t>
  </si>
  <si>
    <t>МБУ Центр семьи "Норильский"</t>
  </si>
  <si>
    <t>2020-2021</t>
  </si>
  <si>
    <t xml:space="preserve">Приобретение (замена) автомобиля для нужд МБУ Центр семьи "Норильский" </t>
  </si>
  <si>
    <t xml:space="preserve">Укрепление материально-технической базы МБУ Центр семьи "Норильский" </t>
  </si>
  <si>
    <t>2021-2022</t>
  </si>
  <si>
    <t>Развитие условий для повышения эффективности психокоррекционной и психопрофилактической работы с несовершеннолетними и взрослыми</t>
  </si>
  <si>
    <t>Приобретение комплекса БОС для дополнительных возможностей в работе по формированию навыков целенаправленной саморегуляции функциональных и эмоциональных состояний, необходимых для поддержания физического, психического и социального здоровья.
Приобретение оборудования для сенсорной комнаты: моноблок 23,8", воздушно-пузырьковая панель (60х120 см), звукоактированный проектор, проектор с дисками, светодиодный проектор, прибор динамической заливки света, зеркальный шар с приводом вращения, блок управления, терапевтическое кресло 2 шт., маты напольные (200*100 -4 шт.), мат настенный (100*100- 4 шт.), мягкие пуфы 4 шт., фиброоптический модуль - для  применения при проведении занятий по профилактике различных девиаций, улучшению эмоционального состояния, снятию мышечного и психоэмоционального напряжения, нервного возбуждения и тревожности, снижению беспокойства и агрессивности.</t>
  </si>
  <si>
    <t>2022-2023</t>
  </si>
  <si>
    <t>Организация социального проката  предметов и вещей по уходу за детьми длительного использования для отдельных категорий семей</t>
  </si>
  <si>
    <t>Временное обеспечение граждан (безработных, малоимущих, инвалидов и т.п.), нуждающихся в предметах, вещах многократного использования, необходимых для ухода за детьми. Приобретение: кровать для новорожденных (5 шт.),  кровать детская (5 шт.), детская коляска зимняя (5 шт.), детская коляска-трость (5 шт.), ходунки (5 шт.),  ванна пластиковая для купания (5 шт.), стульчик для кормления (5шт.), ингалятор (5 шт.), плита электрическая настольная (3 шт.), обогреватель масляный (3 шт.).</t>
  </si>
  <si>
    <t>Проект  "Социальная прачечная самообслуживания для малоимущих семей"</t>
  </si>
  <si>
    <t>Организация пункта приема гуманитарной помощи для нужд малоимущих семей</t>
  </si>
  <si>
    <t>Создание условий для организации приема от населения гуманитарной помощи для нужд семей, имеющих финансовые трудности.  Приобретение: стеллаж металлический (4*9000), вешало (3*3000), корзины напольные (3*4000).</t>
  </si>
  <si>
    <t>шт.</t>
  </si>
  <si>
    <t>Цель 2. Формирование сбалансированной и креативной Северной городской среды</t>
  </si>
  <si>
    <t>2.1</t>
  </si>
  <si>
    <t>Развитие цифровой экономики</t>
  </si>
  <si>
    <t>2.1.1</t>
  </si>
  <si>
    <t>2.1.1.1</t>
  </si>
  <si>
    <t>КГКУ «Центр информационных технологий Красноярского края», 
МКУ "Служба спасения"</t>
  </si>
  <si>
    <t>шт</t>
  </si>
  <si>
    <t>Доля вызовов экстренных оперативных служб через единый телефонный номер "112" от общего количества вызовов</t>
  </si>
  <si>
    <t>2.1.1.2</t>
  </si>
  <si>
    <t>МКУ "Служба спасения"</t>
  </si>
  <si>
    <t>2020-2022</t>
  </si>
  <si>
    <t>2.1.1.3</t>
  </si>
  <si>
    <t xml:space="preserve">Развитие муниципальной системы оповещения (далее - МСО) города Норильска. </t>
  </si>
  <si>
    <t>Индекс завершенности создания муниципальной системы г. Норильска по видам оповещения</t>
  </si>
  <si>
    <t>2.1.1.4</t>
  </si>
  <si>
    <t>Развитие единой муниципальной волоконно-оптической сети связи</t>
  </si>
  <si>
    <t>Доля исполнения мероприятия</t>
  </si>
  <si>
    <t>2.1.1.5</t>
  </si>
  <si>
    <t>Создание муниципальных центров обработки данных</t>
  </si>
  <si>
    <t>2.1.1.7</t>
  </si>
  <si>
    <t>Подключение муниципальных учреждений муниципального образования город Норильск к системе унифицированных коммуникаций Администрации города Норильска</t>
  </si>
  <si>
    <t>УИиС</t>
  </si>
  <si>
    <t>Доля подключенных муниципальных учреждений</t>
  </si>
  <si>
    <t>2.1.1.8</t>
  </si>
  <si>
    <t>Переход на использование отечественного программного обеспечения и оборудования</t>
  </si>
  <si>
    <t>2020-2029</t>
  </si>
  <si>
    <t>Доля внедренного ПО</t>
  </si>
  <si>
    <t>Доля внедренного оборудования</t>
  </si>
  <si>
    <t>2.1.1.9</t>
  </si>
  <si>
    <t>Организация технической защиты информации в структурных подразделениях Администрации города Норильска</t>
  </si>
  <si>
    <t xml:space="preserve">Ежегодное повышение уровня защищенности </t>
  </si>
  <si>
    <t>2.1.1.10</t>
  </si>
  <si>
    <t>Развитие муниципальной системы электронного документооборота</t>
  </si>
  <si>
    <t>2020-2024</t>
  </si>
  <si>
    <t>Доля подключенных учреждений</t>
  </si>
  <si>
    <t>2022-2024</t>
  </si>
  <si>
    <t>Расширение перечня муниципальных услуг, предоставляемых в электронном виде</t>
  </si>
  <si>
    <t>Доля переведенных в электронный вид муниципальных услуг из числа оставшихся</t>
  </si>
  <si>
    <t>Доля открытости информации о муниципальных учреждениях и предоставляемых ими услугами</t>
  </si>
  <si>
    <t xml:space="preserve">Повышение уровня раскрытия муниципальной информации </t>
  </si>
  <si>
    <t>Создание Муниципального Портала открытых данных.</t>
  </si>
  <si>
    <t>Доля наполнения информацией</t>
  </si>
  <si>
    <t>Обеспечение доступности информационных технологий и повышение мобильности граждан</t>
  </si>
  <si>
    <t>Организация публичных мест wi-fi. Приобретение оборудования, установка и настройка программного обеспечения, организация предоставления услуг жителям.</t>
  </si>
  <si>
    <t>Доля количества точек</t>
  </si>
  <si>
    <t>Организация доступа к сети Интернет в муниципальном транспорте. Приобретение оборудования, установка и настройка программного обеспечения, организация предоставления услуг жителям.</t>
  </si>
  <si>
    <t>УИиС, НПОПАТ</t>
  </si>
  <si>
    <t>2025-2026</t>
  </si>
  <si>
    <t>2.2</t>
  </si>
  <si>
    <t>Удовлетворение потребностей развития экономики и общества в качественных транспортных услугах, в том числе путем создания авиационного транспортно-логистического узла и доступа территории к железнодорожному сообщению</t>
  </si>
  <si>
    <t>2.2.1</t>
  </si>
  <si>
    <t xml:space="preserve">Развитие транспортной инфраструктуры в рамках программ государственного уровня: -  реконструкция аэропорта «Норильск» в целях обеспечения безопасности и расширения географии полетов; -  обеспечение доступа территории к единому железнодорожному сообщению страны
</t>
  </si>
  <si>
    <t>2.2.1.1</t>
  </si>
  <si>
    <t>Реконструкция аэропорта "Норильск"</t>
  </si>
  <si>
    <t>2015-2019</t>
  </si>
  <si>
    <t xml:space="preserve">Количество введенных в эксплуатацию (после реконструкции) взлетно-посадочных полос
</t>
  </si>
  <si>
    <t>единиц</t>
  </si>
  <si>
    <t>2.2.1.2</t>
  </si>
  <si>
    <t>Реконструкция объектов аэродромной инфраструктуры аэропорта Алыкель, г. Норильск, Красноярский край</t>
  </si>
  <si>
    <t>Завершение реконструкции (строительства) вспомогательных объектов аэропортовой инфраструктуры</t>
  </si>
  <si>
    <t>2.2.1.3</t>
  </si>
  <si>
    <t>Строительство широтной технологической железнодорожной магистрали «Полярной» («Русское – Игарка»  (482 км) и «Игарка – Норильск» (285 км)</t>
  </si>
  <si>
    <t>Завершение реконструкции (строительства) объекта железнодорожной инфраструктуры</t>
  </si>
  <si>
    <t>2.2.2</t>
  </si>
  <si>
    <t>Создание условий для развития транспортной системы муниципального образования город Норильск: - обеспечение сохранности, развитие и модернизация сети автомобильных дорог общего пользования муниципального образования город Норильск; - создание условий для повышения качества транспортных услуг, и организация транспортного обслуживания населения муниципального образования город Норильск</t>
  </si>
  <si>
    <t>2.2.2.1</t>
  </si>
  <si>
    <t>Обновление муниципального автобусного парка</t>
  </si>
  <si>
    <t>УМЗ
Управление имущества
МУП "НПОПАТ"</t>
  </si>
  <si>
    <t>2.2.2.2</t>
  </si>
  <si>
    <t>2.2.2.3</t>
  </si>
  <si>
    <t>Выполнение регулярных авиарейсов по маршруту Норильск-Снежногорск-Норильск в год</t>
  </si>
  <si>
    <t>Строительство объектов аэропортовой инфраструктуры</t>
  </si>
  <si>
    <t xml:space="preserve"> единиц</t>
  </si>
  <si>
    <t>2028-2029</t>
  </si>
  <si>
    <t>2.2.2.4</t>
  </si>
  <si>
    <t>2026-2036</t>
  </si>
  <si>
    <t>2.2.2.5</t>
  </si>
  <si>
    <t>Реконструкция автомобильной дороги город Норильск-Талнах (мост через р. Наледная на км 2+969)</t>
  </si>
  <si>
    <t>В результате реконструкции моста через р.Наледная сооружение будет приведено в нормативное состояние, которое в свою очередь обеспечит недопущение аварийных ситуаций, снизит ограничения по грузоподъемности для грузового и пассажирского автотранспорта.
Мощность объекта: протяженность 26,8 п.м.</t>
  </si>
  <si>
    <t>МКУ «Управление по содержанию и строительству автомобильных дорог города Норильска»</t>
  </si>
  <si>
    <t>2.2.2.6</t>
  </si>
  <si>
    <t>Реконструкция участков автодороги Норильск-Талнах ПК174+30 - ПК175+40;
ПК177+05 – ПК177+30;
ПК185+15 – ПК186+10
(устройство водопропускных труб)</t>
  </si>
  <si>
    <t>Реконструкция участков автодороги (устройства водопропускных труб) обеспечит сохранность автодороги, а также безопасность дорожного движения на данных участках.
Мощность объекта: 3 водопропускные трубы.</t>
  </si>
  <si>
    <t>2.2.2.7</t>
  </si>
  <si>
    <t>Реконструкция автомобильной дороги подъезд к гидропорту «Валек» (строительство моста через вторую протоку р. Норильской)</t>
  </si>
  <si>
    <t>Строительство нового моста обеспечит безопасность дорожного движения на данном участке дороги.
Мощность объекта: протяженность 27,2 п.м.</t>
  </si>
  <si>
    <t>2.2.2.8</t>
  </si>
  <si>
    <t xml:space="preserve">Строительство автомобильной дороги общего пользования местного значения "Северная объездная автодорога" </t>
  </si>
  <si>
    <t>Строительство 1 и 2 пусковых комплексов Северной объездной автомобильной дороги позволит сократить транспортную нагрузку на уличную сеть Центрального района города Норильска, направит поток грузового автотранспорта в обход города. 
Мощность объекта: 3,8 км.</t>
  </si>
  <si>
    <t>2.2.2.9</t>
  </si>
  <si>
    <t>Реконструкция участков (ПК55+20 - ПК114+00) объекта капитального строительства «Сооружение – объездная автодорога в районе Талнах и искусственные сооружения на ней»</t>
  </si>
  <si>
    <t>Реконструкция позволит повысить уровень безопасности дорожного движения на данном участке автодороги.
Мощность объекта: протяженность 5,9 км.</t>
  </si>
  <si>
    <t>2.2.2.10</t>
  </si>
  <si>
    <t>Реконструкция Юго-западной объездной дороги г. Норильска (автодорожного моста на км 7+495)</t>
  </si>
  <si>
    <t xml:space="preserve">В результате модернизации сети автодорог города реконструкция обеспечит безопасность дорожного движения на данном участке дороги. 
Мощность объекта: протяженность 12,1 п.м. </t>
  </si>
  <si>
    <t>2.2.2.11</t>
  </si>
  <si>
    <t>В результате модернизации сети автодорог города реконструкция приведет мост в нормативное состояние и обеспечит безопасность дорожного движения на данном участке дороги.
Мощность объекта: протяженность 16,6 п.м.</t>
  </si>
  <si>
    <t>2.2.2.12</t>
  </si>
  <si>
    <t>Реконструкция моста через концентратопровод на км 0,057 по ул. Дудинская в районе Талнах</t>
  </si>
  <si>
    <t>2.2.2.13</t>
  </si>
  <si>
    <t>Строительство автомобильной дороги общего пользования местного значения по ул. Набережная Урванцева (от ул. Набережная Урванцева, д.23 до Дворца спорта "Арктика")</t>
  </si>
  <si>
    <t>Строительство автомобильной дороги обеспечит дополнительный подъезд к социально-значимому объекту - дворцу спорта "Арктика».
Мощность объекта: 0,7 км.</t>
  </si>
  <si>
    <t>2.2.2.14</t>
  </si>
  <si>
    <t>Строительство автомобильной дороги общего пользования местного значения "Второй выезд из района Кайеркан"</t>
  </si>
  <si>
    <t xml:space="preserve">В результате строительства автомобильной дороги будет обеспечен дополнительный выезд из района Кайеркан, а также разгружены улицы района от транспортного потока.
Мощность объекта: 5,0 км.
</t>
  </si>
  <si>
    <t>2.2.2.15</t>
  </si>
  <si>
    <t>2.2.2.16</t>
  </si>
  <si>
    <t>Реконструкция автомобильной дороги общего пользования местного значения "Норильск - Талнах" на участке 0,00 - 4,4 км</t>
  </si>
  <si>
    <t>В результате реконструкции участка автомобильной дороги снизится плотность транспортного потока, что существенно уменьшит время нахождения в пути жителей и гостей города.
Мощность объекта: 4,4 км.</t>
  </si>
  <si>
    <t>2.2.2.17</t>
  </si>
  <si>
    <t>Строительство автомобильной дороги общего пользования местного значения на участке между перекрестками Лауреатов - Павлова и Талнахская - Пушкина</t>
  </si>
  <si>
    <t>В результате строительства автомобильной дороги уменьшится протяженность маршрута тяжеловесных автотранспортных средств по жилой зоне города.
Мощность объекта: 2 км.</t>
  </si>
  <si>
    <t>2029-2030</t>
  </si>
  <si>
    <t>Автозимник по маршруту Норильск – Снежногорск</t>
  </si>
  <si>
    <t>Устройство и содержание автомобильной дороги общего пользования сезонного действия (автозимника) позволит обеспечить в зимний период автомобильный проезд между поселком Снежногорск и остальной частью Норильска, а также окажет положительный эффект на социальное и экономическое благополучие проживающего населения на территории поселка.</t>
  </si>
  <si>
    <t>2.3</t>
  </si>
  <si>
    <t>Формирование качественной городской инфраструктуры</t>
  </si>
  <si>
    <t>2.3.1</t>
  </si>
  <si>
    <t>Сохранение жилищного фонда, вывод из эксплуатации неперспективного ветхого жилищного фонда, обеспечение населения жильем</t>
  </si>
  <si>
    <t>2.3.1.1</t>
  </si>
  <si>
    <t>до 2030</t>
  </si>
  <si>
    <t>Строительство двух жилых домов на ростверках в Центральном районе по ул. 50 лет Октября</t>
  </si>
  <si>
    <t>Строительство жилых домов на ростверках в Центральном районе, районе Талнах, районе Кайеркан</t>
  </si>
  <si>
    <t>Реконструкция и достройка жилого дома</t>
  </si>
  <si>
    <t xml:space="preserve">Реконструкция и достройка жилого дома (расположенного по адресу: г. Норильск, район Талнах, ул. М. Кравца, 12) позволит обеспечить специалистов подразделений ЗФ и РОКС Компании ведомственным жильем. </t>
  </si>
  <si>
    <t>ЗФ ПАО "ГМК "Норильский никель"</t>
  </si>
  <si>
    <t>до 2020</t>
  </si>
  <si>
    <t>Реконструкция общежития</t>
  </si>
  <si>
    <t xml:space="preserve">Реконструкция общежития (расположенного по адресу: г. Норильск, район Талнах, ул. Таймырская, 6) позволит обеспечить специалистов подразделений ЗФ и РОКС Компании ведомственным жильем. </t>
  </si>
  <si>
    <t>2.3.1.2</t>
  </si>
  <si>
    <t>2.3.1.3</t>
  </si>
  <si>
    <t>Создание и управление единой оперативной системой контроля за мерзлотно-геокриологической обстановкой</t>
  </si>
  <si>
    <t>Внедрение программного комплекса</t>
  </si>
  <si>
    <t>2.3.1.4</t>
  </si>
  <si>
    <t>Обеспечение безопасной эксплуатации зданий путем проведения мероприятий по сохранению их устойчивости</t>
  </si>
  <si>
    <t xml:space="preserve">Количество многоквартирных домов, в которых выполнен комплекс работ по сохранению устойчивости </t>
  </si>
  <si>
    <t>строений</t>
  </si>
  <si>
    <t>Количество созданных опорных пунктов</t>
  </si>
  <si>
    <t>Ремонт квартир и восстановление выселенных подъездов многоквартирных домов</t>
  </si>
  <si>
    <t>УЖКХ</t>
  </si>
  <si>
    <t>2023-2030</t>
  </si>
  <si>
    <t>Количество квартир в восстановленных подъездах МКД</t>
  </si>
  <si>
    <t>квартир</t>
  </si>
  <si>
    <t>Региональный фонд, УЖКХ</t>
  </si>
  <si>
    <t>Количество МКД, включенных в  Региональную программу капитального ремонта МКД</t>
  </si>
  <si>
    <t>един.</t>
  </si>
  <si>
    <t>Ремонт квартир под переселение из аварийного и ветхого жилищного фонда и под предоставление в рамках улучшения жилищных условий</t>
  </si>
  <si>
    <t>Количество квартир, в которых выполнен ремонт</t>
  </si>
  <si>
    <t>2.3.1.5</t>
  </si>
  <si>
    <t>2.3.1.6</t>
  </si>
  <si>
    <t>Предоставление возмещения за изымаемое аварийное жилое помещение</t>
  </si>
  <si>
    <t>Управление жилищного фонда Администрации города Норильска</t>
  </si>
  <si>
    <t>Количество семей, переселенных из аварийных жилых помещений посредством выплаты возмещения</t>
  </si>
  <si>
    <t>Предоставление материальной помощи на улучшение технических характеристик предоставляемых жилых помещений</t>
  </si>
  <si>
    <t>Количество муниципальных жилых помещений, в которых улучшены технические характеристики</t>
  </si>
  <si>
    <t>2.3.2</t>
  </si>
  <si>
    <t>Комплексное решение проблем устойчивого функционирования и развитие жилищно-коммунального хозяйства, обеспечивающего безопасные и комфортные условия проживания</t>
  </si>
  <si>
    <t>2.3.2.1</t>
  </si>
  <si>
    <t>Планируемые к строительству и реконструкции региональные объекты в области электроснабжения 
(в соответствии с схемой территориального планирования Красноярского края)</t>
  </si>
  <si>
    <t>- реконструкция гидроагрегатов Усть-Хантайской ГЭС;
- реконструкция воздушной линии (ВЛ) 35 кВ, питающих городские ГПП-8, ГПП-11;
- реконструкция понижающих и распределительных подстанций;
- реконструкция ВЛ 110 кВ;
- строительство ВЛ 110 кВ к месторождению «Масловское»;
- строительство подстанции (ПС) 110/35 на месторождении «Масловское»;
- строительство ВЛ 110 кВ к месторождению «Черногорское»;
- строительство ПС 110/35 кВ на месторождении «Черногорское»;
- строительство ВЛ 110 кВ к месторождению Норильск-1;
- строительство ПС 110/35 кВ на месторождении Норильск-1.</t>
  </si>
  <si>
    <t>2.3.2.2</t>
  </si>
  <si>
    <t xml:space="preserve">Программа комплексного развития систем коммунальной инфраструктуры муниципального образования город Норильск. Реализация программы позволит обеспечить надежность и повысить качество предоставляемых коммунальных услуг за счет модернизации коммунальной инфраструктуры на территории города Норильска, оптимизировать затраты на производство коммунальных услуг, снизить ресурсопотребление и негативное воздействие на окружающую среду при предоставлении коммунальных услуг. </t>
  </si>
  <si>
    <t>Потребление топливно-энергетических ресурсов муниципальным образованием</t>
  </si>
  <si>
    <t>т.у.т.</t>
  </si>
  <si>
    <t>Направление - теплоснабжение. Реконструкция сетей, подлежащих замене в связи с исчерпанием эксплуатационного ресурса.</t>
  </si>
  <si>
    <t>Снижение износа сетей</t>
  </si>
  <si>
    <t>2016-2020</t>
  </si>
  <si>
    <t>Снижение износа системы водоотведения</t>
  </si>
  <si>
    <t>Количество введённых в эксплуатацию стационарных станций приёма вторичных ресурсов на территории МО, строительство полигона ТКО</t>
  </si>
  <si>
    <t>2.3.2.3</t>
  </si>
  <si>
    <t>Реконструкция очистных сооружений города Норильска</t>
  </si>
  <si>
    <t>МКУ "УКРиС",
УЖКХ,
МУП "КОС"</t>
  </si>
  <si>
    <t>2014-2030</t>
  </si>
  <si>
    <t>Разработан проект на реконструкцию очистных сооружений Центрального района города Норильска</t>
  </si>
  <si>
    <t>2.3.2.4</t>
  </si>
  <si>
    <t>Строительство очистных сооружений поселка Снежногорск</t>
  </si>
  <si>
    <t>Строительство полигона для хранения твердых коммунальных отходов в районе поселка Снежногорск</t>
  </si>
  <si>
    <t>МКУ "УКРиС",
УЖКХ,
УГХ</t>
  </si>
  <si>
    <t>2015-2030</t>
  </si>
  <si>
    <t>Строительство водоотводных сооружений в районе ул. Первомайская и вдоль железнодорожного полотна на ул. Норильская</t>
  </si>
  <si>
    <t>При строительстве водоотводных сооружений в полном объеме будет решена проблема с отводом талых и паводковых вод с селитебной зоны района Кайеркан.
Мощность объекта: общая площадь 9 000 м. кв.</t>
  </si>
  <si>
    <t>2.3.2.7</t>
  </si>
  <si>
    <t xml:space="preserve">Строительство предприятия по термическому обезвреживанию отходов в п. Снежногорск </t>
  </si>
  <si>
    <t>2.3.2.8</t>
  </si>
  <si>
    <t>Строительство высоконагружаемого полигона твердых коммунальных отходов в районе Центральный г. Норильска</t>
  </si>
  <si>
    <t>2.3.2.9</t>
  </si>
  <si>
    <t>Строительство и ввод в эксплуатацию предприятия по обезвреживанию отходов в районе Центральный города Норильска</t>
  </si>
  <si>
    <t>2.3.2.10</t>
  </si>
  <si>
    <t>Строительство мусороперегрузочной станции в районе Талнах города Норильска</t>
  </si>
  <si>
    <t>В результате строительства станции повыситься эффективность транспортировки мусора на полигоны ТКО для утилизации.
Мощность объекта: 20 000 т/год.</t>
  </si>
  <si>
    <t>2.3.2.11</t>
  </si>
  <si>
    <t>Строительство мусороперегрузочной станции в районе Кайеркан города Норильска</t>
  </si>
  <si>
    <t>В результате строительства станции повыситься эффективность транспортировки мусора на полигоны ТКО для утилизации.
Мощность объекта: 8 000 т/год.</t>
  </si>
  <si>
    <t>2.3.2.12</t>
  </si>
  <si>
    <t>Строительство водоотводного устройства в районе Талнах</t>
  </si>
  <si>
    <t xml:space="preserve">Строительство водоотводного устройства позволит предотвратить подтопление района, сократить расходы на восстановление инженерной инфраструктуры района, которые могут возникнуть при подтоплении жилого сектора. Строительство предполагает устройство поверхностного водоотвода по улице Федоровского, обеспечивающего устранение поступления воды на проезжую часть и к жилым домам. </t>
  </si>
  <si>
    <t>2.3.3</t>
  </si>
  <si>
    <t>Повышение качества и надежности предоставления жилищно-коммунальных услуг</t>
  </si>
  <si>
    <t>Комплекс работ по капитальному ремонту общего имущества многоквартирных домов</t>
  </si>
  <si>
    <t>Количество МКД, в которых выполнен ремонт общего имущества</t>
  </si>
  <si>
    <t>2.3.3.2</t>
  </si>
  <si>
    <t>Реконструкция источников теплоснабжения с увеличением располагаемой мощности, реконструкция и капитальный ремонт коллекторного хозяйства</t>
  </si>
  <si>
    <t>ТЭЦ-1. Мероприятия по устранению ограничений мощности и повышению надежности эксплуатации: 1. Замена изношенных элементов котлов; 2. Реконструкция хозяйства аварийного дизельного топлива.</t>
  </si>
  <si>
    <t>АО «НТЭК»,                МУП «КОС»</t>
  </si>
  <si>
    <t>Установленная мощность</t>
  </si>
  <si>
    <t>Гкал/час</t>
  </si>
  <si>
    <t xml:space="preserve">ТЭЦ-2. Мероприятия по устранению ограничений мощности и повышению надежности эксплуатации: 1. Замена изношенных элементов котлов; 2.Реконструкция хозяйства аварийного дизельного топлива.   3.Реконструкция предочистки воды ТЭЦ-2 с расширением.                                                                            </t>
  </si>
  <si>
    <t>АО «НТЭК»,                        МУП «КОС»</t>
  </si>
  <si>
    <t>2019-2025</t>
  </si>
  <si>
    <t>ТЭЦ-3. Мероприятия по устранению ограничений мощности и повышению надежности эксплуатации: 1. Замена изношенных элементов котлов; 2. Реконструкция хозяйства аварийного дизельного топлива;  3.Реконструкция предочистки воды ТЭЦ-3 с расширением.</t>
  </si>
  <si>
    <t>Доля магистральных коллекторов, нуждающихся в замене</t>
  </si>
  <si>
    <t>2.3.3.3</t>
  </si>
  <si>
    <t>Перевод потребителей на закрытую систему теплоснабжения</t>
  </si>
  <si>
    <t>Процент потребителей переведенных на закрытую систему теплоснабжения</t>
  </si>
  <si>
    <t>2.3.3.4</t>
  </si>
  <si>
    <t>Модернизация электросетевых объектов: электрооборудования ТЭЦ-1, 2, 3</t>
  </si>
  <si>
    <t>компл</t>
  </si>
  <si>
    <t>2.3.3.5</t>
  </si>
  <si>
    <t>Модернизация электросетевых объектов: электрооборудование Усть-Хантайской и Курейской ГЭС</t>
  </si>
  <si>
    <t>Мероприятия по устранению ограничений мощности и повышению надежности эксплуатации Усть-Хантайской ГЭС: 1. Замена гидроагрегатов; 2. Замена разрядников и ограничителей перенапряжений; 3. Замена повышающих трансформаторов; 4. Замена разъединителей с ручными приводами на разъединители с электродвигательными приводами на основных и заземляющих ножах.</t>
  </si>
  <si>
    <t>АО «НТЭК»</t>
  </si>
  <si>
    <t>МВт</t>
  </si>
  <si>
    <t>Мероприятия по устранению ограничений мощности и повышению надежности эксплуатации Курейская ГЭС: 1. Замена генераторных выключателей; 2. Замена разъединителей с ручными приводами на разъединители с электродвигательными приводами на основных и заземляющих ножах.</t>
  </si>
  <si>
    <t>Уменьшение количества морально устаревшего оборудования</t>
  </si>
  <si>
    <t>2.3.3.6</t>
  </si>
  <si>
    <t>Реконструкция очистных сооружений. Строительство второй нитки водовода водозаборной насосной станции на озере Алыкель</t>
  </si>
  <si>
    <t>Реконструкция очистных сооружений. Мероприятия по повышению надежности эксплуатации.</t>
  </si>
  <si>
    <t>МУП "КОС"</t>
  </si>
  <si>
    <t>Строительство второй нитки водовода водозаборной насосной станции на озере Алыкель. Повышения надежности и технико-экономических показателей водоснабжения.</t>
  </si>
  <si>
    <t>ЗФ ПАО "ГМК" Норильский никель"</t>
  </si>
  <si>
    <t>Процент строительства второй нитки водовода</t>
  </si>
  <si>
    <t>2.3.4</t>
  </si>
  <si>
    <t>Улучшение облика города – создание условий для динамического развития</t>
  </si>
  <si>
    <t>2.3.4.1</t>
  </si>
  <si>
    <t xml:space="preserve">Разработка мастер-плана города Норильска       </t>
  </si>
  <si>
    <t>Подготовка комплекта обоснованных и проработанных предложений по развитию города, содержащих стратегии и приоритеты (последовательность) достижения целей развития, направленных на повышение привлекательности города Норильска для жизни и ведения бизнеса. Проведение стратегических сессий, утверждение мастер-плана и выбор приоритетных проектов для реализации. В ходе проведения мероприятия решаются следующие задачи пространственного развития города в условиях Крайнего Севера:
- повышение привлекательности города, как места для жизни, учебы и работы;
- реконструкция депрессивных территорий и новое жилищное строительство;
- повышение общественной активности городских территорий (прежде всего городского центра и локальных центров периферийных территорий);
- четкое разграничение публичных и частных пространств;
- размещение объектов коммерческой недвижимости;
- развитие общественных пространств;
- благоустройство территории;
- многофункциональное развитие территорий, сочетающее в себе разные виды деятельности;
- сохранение окружающей природной среды и объектов культурного наследия (памятников истории и культуры) народов РФ;
- развитие транспортной и инженерной инфраструктуры.</t>
  </si>
  <si>
    <t>Внедрение новых подходов к созданию городской среды и стандартов комплексного развития территорий</t>
  </si>
  <si>
    <t>Реставрация мозаичных панно</t>
  </si>
  <si>
    <t>Реставрация двух мозаичных панно, расположенных на фасадах 
домов по улице Комсомольская. Художественная авторская реконструкция мозаик с применением новых технологий и техник исполнения, восстановит особенный колорит улицы Комсомольская и монументальное декоративно-прикладное искусство, что улучшит архитектурно-художественную ситуацию в городе.</t>
  </si>
  <si>
    <t>Доля отреставрированных мозаичных панно в их общем количестве</t>
  </si>
  <si>
    <t>2.3.4.2</t>
  </si>
  <si>
    <t xml:space="preserve">Фестиваль по стрит-арту с участием международных и российских художников </t>
  </si>
  <si>
    <t>2.3.4.3</t>
  </si>
  <si>
    <t>Проект "Городской конструктор"</t>
  </si>
  <si>
    <t>2.3.4.4</t>
  </si>
  <si>
    <t>Форум с участием членов Ассоциации, международных и российских экспертов (Ассоциация мэров зимних городов)</t>
  </si>
  <si>
    <t>Ознакомление местного сообщества Норильска с лучшими практиками зимних городов мира с целью развития благоприятной городской среды.</t>
  </si>
  <si>
    <t>Проведен форум с участием членов Ассоциации, международных и российских экспертов</t>
  </si>
  <si>
    <t>2.3.4.5</t>
  </si>
  <si>
    <t>Создание городского общественного пространства в здании Ленинский проспект д.1 (под размещение МКУ «Норильский городской архив», АНО «Агентство развития Норильска», общегородского публичного пространства)</t>
  </si>
  <si>
    <t>Разработка проектно-сметной документации по переустройству здания. Реконструкция нежилого помещения по адресу: Ленинский пр-т, 1.
Объект общей площадью 2232,9 кв.м. предполагается использовать под размещение на 1-2 этажах - МКУ «Норильский городской архив», 3-4 этажах - АНО «Агентство развития Норильска», 5-6 этажи – общегородское публичное пространство, 7 этаж – пространство для проведения обучающих мероприятий АНО «Агентство развития Норильска».</t>
  </si>
  <si>
    <t>2019-2023</t>
  </si>
  <si>
    <t xml:space="preserve">Разработана проектно-сметная документация по переустройству здания </t>
  </si>
  <si>
    <t>Произведена реконструкция здания под размещение АРН</t>
  </si>
  <si>
    <t>2.3.4.6</t>
  </si>
  <si>
    <t>2.3.4.7</t>
  </si>
  <si>
    <t>Благоустройство (расширение) базы отдыха на озере Лама</t>
  </si>
  <si>
    <t>2.3.4.8</t>
  </si>
  <si>
    <t>Проведение дополнительных работ по благоустройству мемориала Норильская Голгофа</t>
  </si>
  <si>
    <t>УГХ</t>
  </si>
  <si>
    <t>Проведены дополнительные работы по благоустройству мемориала Норильская Голгофа</t>
  </si>
  <si>
    <t>2.4</t>
  </si>
  <si>
    <t xml:space="preserve">Обеспечение благоприятной экологичной и безопасной среды жизнедеятельности
</t>
  </si>
  <si>
    <t>2.4.1</t>
  </si>
  <si>
    <t xml:space="preserve">Реализация экологических программ ведущими предприятиями города с применением современных технологий </t>
  </si>
  <si>
    <t>2.4.1.1</t>
  </si>
  <si>
    <t>Реконструкция производства серы на Медном заводе</t>
  </si>
  <si>
    <t>В результате разработки и реализации технических и проектных решений будет обеспечено получение элементарной серы из отходящих газов печей Ванюкова Медного завода, а также снижение выбросов диоксида серы в атмосферу до уровня, установленного регламентирующими документами.</t>
  </si>
  <si>
    <t>2015-2023</t>
  </si>
  <si>
    <t>2.4.1.2</t>
  </si>
  <si>
    <t>Реализация Серного проекта</t>
  </si>
  <si>
    <t>2017-2023</t>
  </si>
  <si>
    <t>2.4.1.3</t>
  </si>
  <si>
    <t>"ЦАТК". Строительство промышленного отвала №3</t>
  </si>
  <si>
    <t>Строительство природоохранного сооружения, предназначенного для санкционированного размещения отходов, образующихся в процессе производственной деятельности подразделений ЗФ ПАО "ГМК "Норильский никель", и включающий в себя полный комплекс необходимых зданий и сооружений для бесперебойной работы объекта с учетом природоохранных мероприятий по размещению и изоляции отходов с обеспечением защиты от загрязнения атмосферы, почвы, поверхностных и грунтовых вод.</t>
  </si>
  <si>
    <t>планируется до 2020</t>
  </si>
  <si>
    <t>тыс. тонн</t>
  </si>
  <si>
    <t>2.4.1.4</t>
  </si>
  <si>
    <t>Реализация программных мероприятий Схемы комплексного использования и охраны водных объектов (СКИОВО) по снижению антропогенного загрязнения водных объектов</t>
  </si>
  <si>
    <t>2016-2030</t>
  </si>
  <si>
    <t>2.4.2</t>
  </si>
  <si>
    <t>Ликвидация несанкционированных свалок, озеленение территорий</t>
  </si>
  <si>
    <t>2.4.2.1</t>
  </si>
  <si>
    <t>Ликвидация несанкционированных свалок отходов на территории муниципального образования город Норильск</t>
  </si>
  <si>
    <t>В результате ликвидации несанкционированных свалок отходов будет обеспечено санитарно-эпидемиологическое благополучие населения и предотвращены экологические риски на территории муниципального образования город Норильск.</t>
  </si>
  <si>
    <t>2017-2030</t>
  </si>
  <si>
    <t>Цель 3. Обеспечение устойчивого экономического роста путем внедрения инновационных технологий в условиях Арктики</t>
  </si>
  <si>
    <t>3.1</t>
  </si>
  <si>
    <t xml:space="preserve">Развитие промышленной отрасли через модернизацию устаревших и создание новых производств ведущими предприятиями города
</t>
  </si>
  <si>
    <t>3.1.1</t>
  </si>
  <si>
    <t>Реконфигурация и модернизация производственных мощностей</t>
  </si>
  <si>
    <t>3.1.1.1</t>
  </si>
  <si>
    <t>Талнахская обогатительная фабрика</t>
  </si>
  <si>
    <t>ориентировочно до 2023</t>
  </si>
  <si>
    <t>3.1.1.2</t>
  </si>
  <si>
    <t>Рудник "Таймырский"</t>
  </si>
  <si>
    <t>В результате реализации проекта ожидается восполнение минерально-сырьевой базы и прирост добычи богатой руды с 3,5 млн до 3,9 млн т к 2022 году.</t>
  </si>
  <si>
    <t>2015-2020</t>
  </si>
  <si>
    <t>3.1.1.3</t>
  </si>
  <si>
    <t>Рудник "Октябрьский"</t>
  </si>
  <si>
    <t>Проект направлен на поддержание текущего уровня добычи до 5,2 млн т руды до 2023 года.</t>
  </si>
  <si>
    <t>2015-2025</t>
  </si>
  <si>
    <t>3.1.1.4</t>
  </si>
  <si>
    <t>Рудник "Скалистый"</t>
  </si>
  <si>
    <t>В результате реализации проекта планируется поэтапное увеличение годовой производительности по добыче руды до 2,4 млн т в год к 2023 году. Достижение показателей планируется обеспечить за счет вскрытия и подготовки к отработке запасов богатых и медистых руд Талнахского и Октябрьского месторождений.</t>
  </si>
  <si>
    <t>2015-2024</t>
  </si>
  <si>
    <t>3.1.1.5</t>
  </si>
  <si>
    <t>Рудник "Комсомольский"</t>
  </si>
  <si>
    <t>Проект направлен на поддержание текущего уровня добычи руды на уровне 3,8-4,1 млн т руды до 2020 года.</t>
  </si>
  <si>
    <t>3.1.2</t>
  </si>
  <si>
    <t>Раскрытие потенциала уникальной ресурсной базы, развитие геологоразведки</t>
  </si>
  <si>
    <t>3.1.3</t>
  </si>
  <si>
    <t>Создание новых производств</t>
  </si>
  <si>
    <t>3.1.3.1</t>
  </si>
  <si>
    <t>Создание совместного предприятия «Арктик Палладий» по разработке Черногорского месторождения и южной части месторождения Норильск-1</t>
  </si>
  <si>
    <t>2018-2024</t>
  </si>
  <si>
    <t>3.1.3.2</t>
  </si>
  <si>
    <t>Создание инфраструктурной сети для развития рынка компримированного газа в НПР</t>
  </si>
  <si>
    <t>В результате реализации проекта:
- рациональное использование запасов природного газа и потенциала газового комплекса ПАО «ГМК «Норильский никель»;
- сокращение расходов на топливо предприятий Группы компаний «Норильский никель», муниципальных организаций;
- создание для частных лиц и организаций НПР возможности оптимизации расходов на ГСМ;
- снижение негативного воздействия автотранспорта на окружающую среду;
- создание инфраструктуры для реализации газомоторного топлива на рынке города всем заинтересованным потребителям.</t>
  </si>
  <si>
    <t>2016-2020
(1 этап)</t>
  </si>
  <si>
    <t>3.2</t>
  </si>
  <si>
    <t xml:space="preserve">Создание деловой среды, комфортной для ведения бизнеса </t>
  </si>
  <si>
    <t>3.2.1</t>
  </si>
  <si>
    <t>Поддержка предпринимательской активности и содействие в реализации инвестиционных проектов</t>
  </si>
  <si>
    <t>3.2.1.1</t>
  </si>
  <si>
    <t>Предоставление различных форм финансовой поддержки субъектам малого и среднего предпринимательства и их реализация</t>
  </si>
  <si>
    <t>Управление потребительского рынка и услуг</t>
  </si>
  <si>
    <t>Доля субъектов малого и среднего предпринимательства, получивших финансовую поддержку в рамках реализации МП, от запланированного количества получателей финансовой поддержки</t>
  </si>
  <si>
    <t>Количество созданных рабочих мест (включая вновь зарегистрированных индивидуальных предпринимателей) в секторе малого и среднего предпринимательства</t>
  </si>
  <si>
    <t>Количество сохраненных рабочих мест в секторе малого и среднего предпринимательства</t>
  </si>
  <si>
    <t>Объем привлеченных внебюджетных инвестиций в секторе малого и среднего предпринимательства</t>
  </si>
  <si>
    <t>млн. руб.</t>
  </si>
  <si>
    <t>Доля налоговых поступлений от получателей финансовой поддержки в бюджеты разных уровней от общего объема налоговых поступлений, уплаченных получателями финансовой поддержки</t>
  </si>
  <si>
    <t>3.2.1.2</t>
  </si>
  <si>
    <t>Предоставление адресной информационной, консультационной поддержки субъектам малого и среднего предпринимательства, а также консультирование граждан по вопросам организации бизнеса</t>
  </si>
  <si>
    <t>Доля граждан и субъектов малого и среднего предпринимательства, получивших консультационную поддержку, от общего числа обратившихся за такой поддержкой</t>
  </si>
  <si>
    <t>3.2.1.3</t>
  </si>
  <si>
    <t>Содействие субъектам малого и среднего предпринимательства в переподготовке и повышении квалификации кадров</t>
  </si>
  <si>
    <t>Доля обученных граждан и субъектов малого и среднего предпринимательства от количества числа слушателей, запланированного к обучению</t>
  </si>
  <si>
    <t>3.2.1.4</t>
  </si>
  <si>
    <t>Обеспечение эффективной работы действующей инфраструктуры поддержки малого и среднего предпринимательства</t>
  </si>
  <si>
    <t>Доля проведенных общегородских мероприятий, способствующих повышению уровня культуры обслуживания, торгового сервиса и популяризации продукции местных товаропроизводителей, от количества запланированных к проведению общегородских мероприятий</t>
  </si>
  <si>
    <t>Обеспеченность населения площадью стационарных торговых объектов</t>
  </si>
  <si>
    <t>кв.м. на 1000 жителей</t>
  </si>
  <si>
    <t>3.2.1.6</t>
  </si>
  <si>
    <t>Предоставление имущественной поддержки субъектам малого и среднего предпринимательства, а также организациям, образующим инфраструктуру поддержки субъектов малого и среднего предпринимательства</t>
  </si>
  <si>
    <t>Количество субъектов малого и среднего предпринимательства, которым предоставлено право владения и (или) пользования на долгосрочной основе муниципальным имуществом, свободным от прав третьих лиц, включенным в перечень муниципального имущества, предназначенного для передачи во владение и (или) в пользование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в % от числа обратившихся за такой поддержкой</t>
  </si>
  <si>
    <t>3.2.1.7</t>
  </si>
  <si>
    <t>План мероприятий по содействию развития конкуренции</t>
  </si>
  <si>
    <t xml:space="preserve">Разработка плана мероприятий ("дорожной карты")по содействию развитию конкуренции в МО город Норильск.
</t>
  </si>
  <si>
    <t xml:space="preserve">"Дорожная карта" разработана </t>
  </si>
  <si>
    <t>3.2.1.8</t>
  </si>
  <si>
    <t xml:space="preserve">Развитие торговой отрасли на территории муниципального образования город Норильск </t>
  </si>
  <si>
    <t>Реализация мероприятий концепции развития торговой отрасли в сфере розничной торговли на территории муниципального образования город Норильск на 2018 - 2022 годы</t>
  </si>
  <si>
    <t>Концепция разработана и утверждена постановлением Администрации города Норильска от 28.05.2018 N 191 "Об утверждении концепции развития торговой отрасли в сфере розничной торговли на территории муниципального образования "город Норильск на 2018 - 2022 годы</t>
  </si>
  <si>
    <t>Обеспечение актуализации схемы размещения нестационарных торговых объектов на территории муниципального образования город Норильск</t>
  </si>
  <si>
    <t>Постановление Администрации города Норильска от 12.09.2018 N 353 "Об утверждении схемы размещения нестационарных торговых объектов на территории муниципального образования город Норильск"</t>
  </si>
  <si>
    <t>Достижение установленных нормативов минимальной обеспеченности населения площадью стационарных торговых объектов</t>
  </si>
  <si>
    <t>3.2.1.9</t>
  </si>
  <si>
    <t xml:space="preserve">Развитие предпринимательства и самозанятости населения </t>
  </si>
  <si>
    <t>В рамках проекта муниципального образования город Норильска "Развитие предпринимательства и самозанятости населения " на период 2019-2020 годы:
- оказание информационной и консультационной поддержки гражданам по различным аспектам организации предпринимательской деятельности;
- оказание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t>
  </si>
  <si>
    <t>Численность граждан, получивших государственную услугу по самозанятости</t>
  </si>
  <si>
    <t>3.2.1.10</t>
  </si>
  <si>
    <t>Содействие самозанятости безработных граждан</t>
  </si>
  <si>
    <t>Численность безработных граждан, получивших единовременную финансовую помощь при организации собственного дела</t>
  </si>
  <si>
    <t>Обеспечение мероприятий по сохранению и развитию регулярных перевозок пассажиров и багажа автомобильным транспортом</t>
  </si>
  <si>
    <t>Финансовое обеспечение части регулярных пассажирских внутригородских автобусных перевозок, в том числе в промышленных зонах МО город Норильск</t>
  </si>
  <si>
    <t>3.2.2</t>
  </si>
  <si>
    <t>Открытие как новых, так и дополнительных видов деятельности субъектами малого и среднего бизнеса, в том числе с использованием франшиз</t>
  </si>
  <si>
    <t>3.2.2.1</t>
  </si>
  <si>
    <t xml:space="preserve">Проведение комплексного мониторинга деятельности субъектов малого и среднего предпринимательства (МСП) </t>
  </si>
  <si>
    <t>3.2.2.2</t>
  </si>
  <si>
    <t>Бизнес-навигатор МСП</t>
  </si>
  <si>
    <t>3.2.2.3</t>
  </si>
  <si>
    <t>Программа обучения субъектов МСП</t>
  </si>
  <si>
    <t>3.2.2.4</t>
  </si>
  <si>
    <t>Бизнес-инкубатор МСП</t>
  </si>
  <si>
    <t>Проект является универсальной площадкой для запуска и развития собственного бизнеса. Бизнес-инкубатор необходим для всестороннего оказания поддержки начинающим малым предприятиям. Наибольшую пользу предпринимателям в бизнес-инкубаторе принесет полная концентрация на предпринимательских задачах при снижении расходов на управленческий аппарат.
Проект позволит предпринимателям снижать риски, связанные со стартапами; вовлекать в предпринимательскую деятельность заинтересованную молодежь.</t>
  </si>
  <si>
    <t>Реализован проект "Бизнес-инкубатор МСП"</t>
  </si>
  <si>
    <t>3.2.2.5</t>
  </si>
  <si>
    <t>Здание магазина спецтехники по ул. Хантайская, 1 в районе Центральный</t>
  </si>
  <si>
    <t>В результате строительства и ввода в эксплуатацию объекта увеличится обеспеченность населения площадью торговых объектов, будут созданы новые рабочие места. В объекте планируется реализация спецтехники и комплектующих изделий, открытие предприятий бытового обслуживания и общественного питания.</t>
  </si>
  <si>
    <t>ИП Агаларов Н.Н.о</t>
  </si>
  <si>
    <t>2016-2022</t>
  </si>
  <si>
    <t>3.2.2.6</t>
  </si>
  <si>
    <t>Здание магазина с детской развлекательной зоной по ул. Бауманская, 8 в районе Талнах</t>
  </si>
  <si>
    <t>В результате строительства и ввода в эксплуатацию объекта увеличится обеспеченность населения площадью торговых объектов, будут созданы новые рабочие места. Объект планируется под сдачу в аренду для осуществления торговой деятельности и бытового обслуживания.</t>
  </si>
  <si>
    <t>ООО "Провиант"</t>
  </si>
  <si>
    <t>3.2.2.7</t>
  </si>
  <si>
    <t>Торговый центр по ул. Спортивная, 10 в районе Талнах</t>
  </si>
  <si>
    <t>В результате строительства и ввода в эксплуатацию объекта увеличится обеспеченность населения площадью торговых объектов, будут созданы новые рабочие места. Объект планируется под сдачу в аренду для осуществления торговой деятельности и бытового обслуживания, по состоянию на 2016 год уже функционирует предприятие общественного питания на 60 посадочных мест.</t>
  </si>
  <si>
    <t>3.2.3</t>
  </si>
  <si>
    <t>Развитие предпринимательства, в том числе наращивание производства продуктов питания с использованием новых инновационных технологий, восстановление производства сельскохозяйственной продукции, как для собственного потребления, так и для расширения рынков сбыта, а также для обеспечения продовольственной безопасности территории, в том числе импортозамещение</t>
  </si>
  <si>
    <t>3.2.3.1</t>
  </si>
  <si>
    <t>Строительство тепличного комплекса</t>
  </si>
  <si>
    <t>ООО "Заполярный тепличный комплекс"</t>
  </si>
  <si>
    <t>2018-2021</t>
  </si>
  <si>
    <t>3.2.3.2</t>
  </si>
  <si>
    <t>Модернизация действующего предприятия по производству минеральной воды</t>
  </si>
  <si>
    <t>Существенная модернизация действующего предприятия по производству минеральной воды, добываемой на месторождении «Вальковское».</t>
  </si>
  <si>
    <t>ООО "Алькор-С"</t>
  </si>
  <si>
    <t>3.2.4</t>
  </si>
  <si>
    <t>Развитие социального предпринимательства</t>
  </si>
  <si>
    <t>3.2.4.1</t>
  </si>
  <si>
    <t>3.2.4.2</t>
  </si>
  <si>
    <t>Поддержка и стимулирование общественных инициатив, развитие социального партнерства и социальных компетенций местного сообщества</t>
  </si>
  <si>
    <t>Реализованы направления благотворительной программы "Мир новых возможностей" ПАО "ГМК "Норильский никель"</t>
  </si>
  <si>
    <t>3.2.4.3</t>
  </si>
  <si>
    <t>Формирование эффективных механизмов предоставления возможностей реализации потенциала сотрудников ПАО "ГМК "Норильский никель" в сфере благотворительной деятельности</t>
  </si>
  <si>
    <t>Реализованы программы корпоративного волонтерства</t>
  </si>
  <si>
    <t>Формирование и реализация эффективных механизмов внутрикорпоративных коммуникаций в подразделениях ЗФ и российских организаций корпоративной структуры, входящих в Группу компаний "Норильский никель" их филиалах, а также филиалах ПАО "ГМК "Норильский никель", расположенных на территории муниципального образования город Норильск и Таймырского Долгано-Ненецкого муниципального района.</t>
  </si>
  <si>
    <t>Реализованы механизмы внутрикорпоративных коммуникаций</t>
  </si>
  <si>
    <t>Проведена спортивно-оздоровительная работа</t>
  </si>
  <si>
    <t>3.2.5</t>
  </si>
  <si>
    <t>Повышение уровня туристической привлекательности территории</t>
  </si>
  <si>
    <t>3.2.5.1</t>
  </si>
  <si>
    <t>Создание объекта регионального значения туристической инфраструктуры
(в соответствии с схемой территориального планирования Красноярского края)</t>
  </si>
  <si>
    <t>3.2.5.2</t>
  </si>
  <si>
    <t>Дом гостиничного типа «Бизнес-отеля» по ул. пл. Металлургов, д. 25 в районе Центральный</t>
  </si>
  <si>
    <t>ИП Давудов Ф.Ш.о</t>
  </si>
  <si>
    <t>3.2.5.4</t>
  </si>
  <si>
    <t>Реконструкция здания бывшего детского сада на ул. Лауреатов, 79 под размещение гостиницы «Виктория»</t>
  </si>
  <si>
    <t>3.2.5.5</t>
  </si>
  <si>
    <t>Разработка мастер-плана развития туристско-рекреационной инфраструктуры на территории Норило-Пясинской системы озер, в том числе в охранной зоне государственного природного заповедника "Путоранский"</t>
  </si>
  <si>
    <t xml:space="preserve">Разработан мастер-план развития туристско-рекреационной инфраструктуры </t>
  </si>
  <si>
    <t>3.2.5.6</t>
  </si>
  <si>
    <t>3.2.5.7</t>
  </si>
  <si>
    <t>3.2.5.8</t>
  </si>
  <si>
    <t>Исследования по выделению перспективных ниш для развития туристского бизнеса</t>
  </si>
  <si>
    <t>Выделение перспективных ниш для развития туристского бизнеса. Презентация результатов исследования.  Инициирование создания новых организаций, функционирующих в области туризма.</t>
  </si>
  <si>
    <t>Проведены исследования по выделению перспективных ниш для развития туристского бизнеса. Презентованы результаты исследования в местном сообществе</t>
  </si>
  <si>
    <t>3.2.5.10</t>
  </si>
  <si>
    <t xml:space="preserve">Рост туристического потока, </t>
  </si>
  <si>
    <t>в том числе внешнего:</t>
  </si>
  <si>
    <t>3.2.5.11</t>
  </si>
  <si>
    <t>3.2.5.12</t>
  </si>
  <si>
    <t>Создан сайт о туристских возможностях территории</t>
  </si>
  <si>
    <t>Создана система туристской навигации</t>
  </si>
  <si>
    <t>3.2.5.17</t>
  </si>
  <si>
    <t>3.2.5.18</t>
  </si>
  <si>
    <t>Гастрономический фестиваль "Север"</t>
  </si>
  <si>
    <t>3.2.5.19</t>
  </si>
  <si>
    <t xml:space="preserve">Выставка «Таймыр. Гений места» во Всероссийском музее декоративно – прикладного и народного искусства </t>
  </si>
  <si>
    <t>Организована выставка «Таймыр. Гений места» во Всероссийском музее декоративно – прикладного и народного искусства (г. Москва)</t>
  </si>
  <si>
    <t>3.2.5.20</t>
  </si>
  <si>
    <t xml:space="preserve">Размещение и содержание рекламных баннеров о туристических достопримечательностях г. Норильска на объектах г. Дудинка </t>
  </si>
  <si>
    <t>Участие в региональных, всероссийских, международных семинарах, конференциях, выставках по вопросам развития туризма</t>
  </si>
  <si>
    <t>Принято участие в региональных, всероссийских, международных семинарах, конференциях, выставках по вопросам развития туризма</t>
  </si>
  <si>
    <t xml:space="preserve">Популяризация туристических маршрутов </t>
  </si>
  <si>
    <t xml:space="preserve">Проведена работа в области популяризации туристических маршрутов </t>
  </si>
  <si>
    <t>Проведение опросов населения для выявления предпочтительных направлений внутреннего туризма, определения популярности достопримечательностей территории и событийных мероприятий среди жителей города Норильска</t>
  </si>
  <si>
    <t>Проведены опросы населения для выявления предпочтительных направлений внутреннего туризма, определения популярности достопримечательностей территории и событийных мероприятий среди жителей города Норильска</t>
  </si>
  <si>
    <t>Выпуск рекламной продукции, 
изготовление информационных материалов, календаря событий г. Норильска (буклеты, карты-схемы, путеводители и т.д.)</t>
  </si>
  <si>
    <t xml:space="preserve">Выпущена рекламная продукция, 
изготовлены информационные материалы, календари событий </t>
  </si>
  <si>
    <t>Размещение во всероссийских, 
региональных и муниципальных каталогах информации о туристских ресурсах г. Норильска</t>
  </si>
  <si>
    <t xml:space="preserve">Информация о туристских ресурсах г. Норильска размещена во всероссийских, 
региональных и муниципальных каталогах </t>
  </si>
  <si>
    <t>Ведение Единого реестра туристских ресурсов территории. Актуализация раздела «Туризм» официального сайта Администрации города Норильска</t>
  </si>
  <si>
    <t>Актуализирован раздел «Туризм»</t>
  </si>
  <si>
    <t>Актуализация унифицированного 
туристского паспорта города ежегодно</t>
  </si>
  <si>
    <t>Реализуется ежегодная актуализация паспорта</t>
  </si>
  <si>
    <t>Создан Координационный совет по развитию туризма</t>
  </si>
  <si>
    <t>Заключение соглашения о межмуниципальном сотрудничестве между городом Норильск и Таймырским Долгано-Ненецким муниципальным районом по развитию туризма, разработка межмуниципального плана по развитию туризма</t>
  </si>
  <si>
    <t xml:space="preserve">Заключено соглашение о межмуниципальном сотрудничестве между городом Норильск и Таймырским Долгано-Ненецким муниципальным районом </t>
  </si>
  <si>
    <t>Обеспечение безопасности туристических маршрутов</t>
  </si>
  <si>
    <t>Регистрация туристических групп (туроператоров)</t>
  </si>
  <si>
    <t xml:space="preserve">1. Фактическая регистрация с контролем подготовленности групп, контролем обеспеченностью снаряжением и пр. </t>
  </si>
  <si>
    <t>Управление ГО и ЧС г. Норильск</t>
  </si>
  <si>
    <t>Обеспечение безопасности туристических групп на маршрутах следования</t>
  </si>
  <si>
    <t>ИТОГО:</t>
  </si>
  <si>
    <t>УАП</t>
  </si>
  <si>
    <t>УЖФ</t>
  </si>
  <si>
    <t>УОиДО</t>
  </si>
  <si>
    <t>1.6.4.4</t>
  </si>
  <si>
    <t>1.5.3.2</t>
  </si>
  <si>
    <t>1.5.3.3</t>
  </si>
  <si>
    <t>1.5.3.4</t>
  </si>
  <si>
    <t>МУП "НПОПАТ", Управление имущества</t>
  </si>
  <si>
    <t>Доля муниципального автобусного парка имеющего 100% износ (МАЗ-103)</t>
  </si>
  <si>
    <t>Доля муниципального автобусного парка имеющего 100% износ (МАЗ-206)</t>
  </si>
  <si>
    <t>Количество приобретенных автобусов   для сохранения действующего уровня транспортного обслуживания жителей муниципального образования город Норильск (МАЗ-103)</t>
  </si>
  <si>
    <t>Количество приобретенных автобусов   для сохранения действующего уровня транспортного обслуживания жителей муниципального образования город Норильск (МАЗ-206)</t>
  </si>
  <si>
    <t>2.3.1.8</t>
  </si>
  <si>
    <t>2.3.1.9</t>
  </si>
  <si>
    <t>2.3.1.10</t>
  </si>
  <si>
    <t>2.3.1.11</t>
  </si>
  <si>
    <t>2.3.1.12</t>
  </si>
  <si>
    <t>2.3.1.13</t>
  </si>
  <si>
    <t>2.3.4.9</t>
  </si>
  <si>
    <t>Посещаемость ресурса</t>
  </si>
  <si>
    <t>1.2.2.7</t>
  </si>
  <si>
    <t>1.2.3.1</t>
  </si>
  <si>
    <t>Количество участников клубных формирований в расчете на 1 тыс. чел. населения</t>
  </si>
  <si>
    <t>Создание автоматизированных рабочих мест для увеличения скорости реагирования при выполнении мероприятий по экстренному предупреждению и ликвидации кризисных ситуаций</t>
  </si>
  <si>
    <t>Проект будет реализован с применением современных технологий и решений, что позволит создать новое высокопроизводительное и экологически чистое, инновационное производство с высокой добавленной стоимостью продукции, что приведет к увеличению налогового потенциала города и региона, а также к созданию более трех тысяч новых рабочих мест.  Запасы месторождений - около 4,3 тыс. т платины и палладия и 6,3 млн т никеля и меди. Помимо металлов платиновой группы совместное предприятие будет производить 50 тыс. т никеля и 70 тыс. т меди в год.</t>
  </si>
  <si>
    <t>Реализация программных мероприятий Схемы комплексного использования и охраны водных объектов позволит снизить антропогенные загрязнения водных объектов, обеспечить санитарно-эпидемиологическое благополучие населения и предотвратить экологические риски на территории.</t>
  </si>
  <si>
    <t>Совершенствование материально-технической базы для развития ЕДДС города Норильска</t>
  </si>
  <si>
    <t>Приобретено метеостанций и беспилотников</t>
  </si>
  <si>
    <t>Реализация проекта "Обычная жизнь"</t>
  </si>
  <si>
    <t>Строительство аэропортового комплекса в поселке Снежногорск</t>
  </si>
  <si>
    <t>АО "НТЭК", по согласованию с органами исполнительной власти Красноярского края</t>
  </si>
  <si>
    <t>Темп роста валового муниципального продукта (ВМП) к базовому году</t>
  </si>
  <si>
    <t xml:space="preserve">Темп роста объема отгруженных товаров собственного производства по полному кругу организаций к базовому году </t>
  </si>
  <si>
    <t xml:space="preserve">Темп роста объема отгруженных товаров промышленного производства по полному кругу организаций к базовому году </t>
  </si>
  <si>
    <t xml:space="preserve">Темп роста объема инвестиций в основной капитал к базовому году </t>
  </si>
  <si>
    <t>Произведено минеральной воды</t>
  </si>
  <si>
    <t>3.2.2.27</t>
  </si>
  <si>
    <t>3.2.2.28</t>
  </si>
  <si>
    <t>3.2.2.29</t>
  </si>
  <si>
    <t>Реконструкция здания для размещения дошкольного образовательного учреждения, город Норильск, район Кайеркан, ул. Первомайская, д. 4.
Мощность объекта: 270 мест.
Количество создаваемых рабочих мест – 75 шт. ед.</t>
  </si>
  <si>
    <t>Строительство здания дошкольного образовательного учреждения, город Норильск, Центральный район, в районе дома пр. Молодежный, д. 29.
Мощность объекта: 270 мест.
Количество создаваемых рабочих мест – 75 шт. ед.</t>
  </si>
  <si>
    <t>Реконструкция здания МБОУ ДО "Центр внешкольной работы", город Норильск, район Талнах, ул. Кравца, д. 16. Реконструкция позволит привести здание и инженерные системы в соответствие с техническими нормами, снизив при этом уровень износа основных средств.
Мощность объекта: 2 961 чел.</t>
  </si>
  <si>
    <t>Реконструкция здания МБОУ ДО "Станция юных техников", город Норильск, Центральный район, ул. Орджоникидзе, д. 14а. Реконструкция позволит привести здание и инженерные системы в соответствие с техническими нормами, снизив при этом уровень износа основных средств.
Мощность объекта: 1 290 чел.
Количество создаваемых рабочих мест – 10 шт. ед.</t>
  </si>
  <si>
    <t>Строительство спортивно-оздоровительного комплекса в жилом образовании Оганер будет способствовать повышению качества и уровня доступности услуг на территории.
Мощность объекта: ежедневное посещение – 250 человек.
Количество создаваемых рабочих мест - 12,5 шт. ед.</t>
  </si>
  <si>
    <t>Строительство концертного зала для организации гастрольной, концертной и выставочной деятельности, создания новых клубных формирований для жителей, Центральный район</t>
  </si>
  <si>
    <t>Расширение спектра клубных формирований для населения разных возрастов, повышение доступности культурных услуг, поддержка гастрольной деятельности. Мощность объекта: 1 500 мест.</t>
  </si>
  <si>
    <t>Строительство аэропортового комплекса (посадочной площадки, зал ожидания, пункт досмотра), с обеспечением всех требований по транспортной безопасности, для реализации возможности приема легких самолетов.  Организация регулярного пассажирского авиасообщения по маршруту Норильск-Снежногорск-Норильск, легкими самолетами.
Мощность объекта: площадь здания 100 м. кв., 1 этаж, быстровозводимое.</t>
  </si>
  <si>
    <t>В результате реализации проекта планируется создание на территории комфортабельного 5-этажного гостиничного комплекса современного класса.
Мощность объекта: 6000 кв.м., номерной фонд - 152 номера (одноместных 80 номеров, двухместных – 68, апартаменты – 4 номера), конференц-зал.                                                                            Планируется создание 36 новых рабочих мест.</t>
  </si>
  <si>
    <t>Создание туристско-рекреационного кластера "Красноярская Арктика". Реализация инвестиционного проекта Туристско-рекреационный кластер «Арктический». Создание на территории Красноярского края уникальных современных туристских кластеров круизного туризма Таймырский Долгано-Ненецкий муниципальный район «Притяжение Таймыра», муниципальное образование город Норильск «Сияние Арктики», ТДНМР «Неизведанный мир Плато Путорана», располагающих необходимой комфортабельной инфраструктурой для круизного туризма.</t>
  </si>
  <si>
    <t>Создание туристской дестинации «Сияние Арктики»</t>
  </si>
  <si>
    <t>В рамках инвестиционного проекта Туристско-рекреационный кластер «Арктический» предусмотрено создание уникального современного туристского кластера на территории муниципального образования город Норильск «Сияние Арктики».</t>
  </si>
  <si>
    <t>Создание межрайонных волоконно-оптических линий связи. Прокладка ВОЛС между районами: Центральный-Талнах, Центральный-Кайеркан, Центральный-Оганер-Наледная.</t>
  </si>
  <si>
    <t>Создание волоконно-оптических линий связи до муниципальных учреждений. Прокладка ВОЛС до учреждений сферы образования, спорта, культуры и искусства, муниципальных учреждений, МКУ и МУП.</t>
  </si>
  <si>
    <t>Приобретение метеостанций для мониторинга фактической погоды и беспилотников с выводом сигнала на ЕДДС для повышения эффективности деятельности ЕДДС города Норильска.</t>
  </si>
  <si>
    <t>Создание подсистем комплекса программно-технических средств МСО города Норильска (район Центральный, район Талнах).</t>
  </si>
  <si>
    <t xml:space="preserve"> Создание АПК Системы – 112 на базе ЕДДС города Норильска, в том числе:
- приобретение 2-х АРМ Системы 112 (для ЕДДС города Норильска), 
- приобретение 2-х АРМ Системы 112 (для службы 103),                      
- приобретение 4-х АРМ Системы 112 (для службы 102),                              
- приобретение 3-х АРМ Системы 112 (для службы 101).
</t>
  </si>
  <si>
    <t xml:space="preserve">Оборудование школьного пространства для внеурочной деятельности, дополнительных занятий, групп продленного дня  и др. </t>
  </si>
  <si>
    <t>Запланировано строительство 18 жилых домов на имеющихся ростверках.</t>
  </si>
  <si>
    <t>Капитальный ремонт общего имущества многоквартирных домов в рамках регионального фонда капитального ремонта</t>
  </si>
  <si>
    <t>Реконструкция моста через напорные водоотводы на км 2+174 по ул. Октябрьская</t>
  </si>
  <si>
    <t>Строительство автомобильной дороги общего пользования местного значения по ул. Первомайской</t>
  </si>
  <si>
    <t>Среднегодовая численность населения</t>
  </si>
  <si>
    <t>В трудоспособном возрасте (на начало года)</t>
  </si>
  <si>
    <t>Коэффициент естественного прироста (убыли) населения</t>
  </si>
  <si>
    <t>Темп роста среднедушевых доходов населения к базовому году</t>
  </si>
  <si>
    <t>Уровень зарегистрированной безработицы (к трудоспособному населению в трудоспособном возрасте), на конец периода</t>
  </si>
  <si>
    <t>тыс. чел.</t>
  </si>
  <si>
    <t>на 1 000 чел.</t>
  </si>
  <si>
    <t>Доля услуг, предоставленных органами власти в электронном виде, от общего количества предоставленных услуг</t>
  </si>
  <si>
    <t>Число субъектов малого и среднего предпринимательства в расчете на 10 000 человек населения</t>
  </si>
  <si>
    <t>Доля занятых в сфере малого и среднего предпринимательства в общей численности занятых в экономике</t>
  </si>
  <si>
    <t>Количество занятых в сфере малого и среднего предпринимательства</t>
  </si>
  <si>
    <t xml:space="preserve">Темп роста оборота общественного питания к базовому году </t>
  </si>
  <si>
    <t xml:space="preserve">Темп роста оборота розничной торговли к базовому году </t>
  </si>
  <si>
    <t xml:space="preserve">Темп роста объема платных услуг к базовому году </t>
  </si>
  <si>
    <t>Введение в эксплуатацию автомобильной дороги Туруханск - Игарка - Дудинка</t>
  </si>
  <si>
    <t xml:space="preserve">Общая протяженность сети автомобильных дорог общего пользования местного значения муниципального образования город Норильск
</t>
  </si>
  <si>
    <t>км</t>
  </si>
  <si>
    <t>Содержание и управление дорожным хозяйством муниципального образования город Норильск</t>
  </si>
  <si>
    <t>Содержание, ремонт и капитальный ремонт автомобильных дорог общего пользования местного значения муниципального образования город Норильск и искусственных дорожных сооружений на них.</t>
  </si>
  <si>
    <t>2.2.2.18</t>
  </si>
  <si>
    <t>Доля протяженности автомобильных дорог общего пользования местного значения муниципального образования город Норильск, соответствующих нормативным требованиям к транспортно-эксплуатационным показателям</t>
  </si>
  <si>
    <t>0,0
/ 10 000,0</t>
  </si>
  <si>
    <t>0,0
/ 116 001,3</t>
  </si>
  <si>
    <t>0,0
 / 76 779,6</t>
  </si>
  <si>
    <t>0,0 
 / 165 906,0</t>
  </si>
  <si>
    <t>0,0  
/ 50 000,0</t>
  </si>
  <si>
    <t>0,0
 / 150 000,0</t>
  </si>
  <si>
    <t>0,0  
/ 309 500,0</t>
  </si>
  <si>
    <t>0,0 
/ 146 000,0</t>
  </si>
  <si>
    <t>0,0 
  / 250 000,0</t>
  </si>
  <si>
    <t>0,0 
 / 240 000,0</t>
  </si>
  <si>
    <t>0,0
 / 240 000,0</t>
  </si>
  <si>
    <t>0,0  
/  110 000,0</t>
  </si>
  <si>
    <t>0,0 
 / 245 000,0</t>
  </si>
  <si>
    <t>0,0
 / 375 000,0</t>
  </si>
  <si>
    <t>0,0 
/ 250 000,0</t>
  </si>
  <si>
    <t>0,0
/ 330 000,0</t>
  </si>
  <si>
    <t>0,0 
/ 260 000,0</t>
  </si>
  <si>
    <t>0,0 
/ 590 000,0</t>
  </si>
  <si>
    <t>0,0 
/ 625 000,0</t>
  </si>
  <si>
    <t>0,0
 / 245 000,0</t>
  </si>
  <si>
    <t>0,0
 / 1 080 000,0</t>
  </si>
  <si>
    <t>0,0
 / 146 000,0</t>
  </si>
  <si>
    <t>0,0
/ 200 000,0</t>
  </si>
  <si>
    <t>0,0
/ 86 779,6</t>
  </si>
  <si>
    <t>0,0
/ 281 907,3</t>
  </si>
  <si>
    <t>0,0
/ 309 500,0</t>
  </si>
  <si>
    <t>0,0
/ 71 629,7</t>
  </si>
  <si>
    <t>0,0
/ 129 706,8</t>
  </si>
  <si>
    <t>0,0
/ 50 000,0</t>
  </si>
  <si>
    <t>Обеспечение жильем молодых семей</t>
  </si>
  <si>
    <t xml:space="preserve">Удельный вес числа молодых семей, которым ОМС выданы свидетельства о праве на получение социальной выплаты на приобретение жилого помещения, к числу молодых семей, включенных Министерством в сводный список молодых семей
</t>
  </si>
  <si>
    <t>Снос аварийных и ветхих строений</t>
  </si>
  <si>
    <t>Количество снесенных аварийных и ветхих строений</t>
  </si>
  <si>
    <t>Доля аварийных и ветхих строений в общем количестве строений</t>
  </si>
  <si>
    <t>2.3.4.10</t>
  </si>
  <si>
    <t>Реализация проектов по благоустройству в целях формирования благоприятных условий и комфортного пребывания граждан в городской среде</t>
  </si>
  <si>
    <t>Участие одаренных детей и молодежи в выездных всероссийских, международных конкурсах, летней творческой смене</t>
  </si>
  <si>
    <t>чел</t>
  </si>
  <si>
    <t>Организация и проведение официальных спортивных, физкультурных (физкультурно-оздоровительных) мероприятий</t>
  </si>
  <si>
    <t>Фестиваль северной ягоды</t>
  </si>
  <si>
    <t>Удельный вес населения, участвующего в событийных мероприятиях</t>
  </si>
  <si>
    <t xml:space="preserve">Обеспечение создания, содержания и развития объектов благоустройства
</t>
  </si>
  <si>
    <t>2017-2024</t>
  </si>
  <si>
    <t>2.3.4.11</t>
  </si>
  <si>
    <t xml:space="preserve">Доля благоустроенных общественных территорий  от общего количества таких территорий  </t>
  </si>
  <si>
    <t xml:space="preserve">Доля благоустроенных дворовых территорий многоквартирных домов от общего количества дворовых территорий многоквартирных домов  </t>
  </si>
  <si>
    <t>Количество арт-объектов</t>
  </si>
  <si>
    <t>Туристический слет на реке Хараелах</t>
  </si>
  <si>
    <t>2.3.4.12</t>
  </si>
  <si>
    <t>2.3.4.13</t>
  </si>
  <si>
    <t>Обустройство территории в районе ул. Рудная, 35а</t>
  </si>
  <si>
    <t>Обустройство городского парка имени Н.Н. Урванцева</t>
  </si>
  <si>
    <t>создание нового парка</t>
  </si>
  <si>
    <t>Количество работников, прошедших повышение квалификации</t>
  </si>
  <si>
    <t xml:space="preserve">Ремонт автомобильной дороги  Норильск-Талнах </t>
  </si>
  <si>
    <t>2017-2019</t>
  </si>
  <si>
    <t>2.2.2.20</t>
  </si>
  <si>
    <t>Доля аварийно-опасных участков обустроенных ТСОДД</t>
  </si>
  <si>
    <t>Повышение безопасности дорожного движения на автомобильных дорогах общего пользования муниципального образования город Норильск</t>
  </si>
  <si>
    <t>Изготовление презентационных роликов</t>
  </si>
  <si>
    <t>Выбросы в атмосферный воздух</t>
  </si>
  <si>
    <t>тыс.т.</t>
  </si>
  <si>
    <t>Направление - система обращения ТКО.
1. Строительство мусороперерабатывающего комплекса; 
2. Строительство мусороперегрузочной станции район Талнах;  
3. Строительство мусороперегрузочной станции район Кайеркан;
4. Строительство полигона ТКО.</t>
  </si>
  <si>
    <t>Количество предприятий по утилизации и переработке бытовых и промышленных отходов всех форм собственности</t>
  </si>
  <si>
    <t>Доля обезвреживания твердых коммунальных отходов в общем объеме образующихся твердых коммунальных отходов</t>
  </si>
  <si>
    <t>Администрация города Норильска, Региональный оператор по обращению с ТКО, собственники земельных участков</t>
  </si>
  <si>
    <t>1.6.4.5</t>
  </si>
  <si>
    <t>Организация временного трудоустройства безработных и ищущих работу граждан</t>
  </si>
  <si>
    <t>КГКУ "ЦЗН г.Норильска"
Администрация города Норильска</t>
  </si>
  <si>
    <t>Содействие занятости женщин, воспитывающих детей, в рамках реализации государственной программы "Содействие занятости населения"</t>
  </si>
  <si>
    <t>количество человек, прошедших переобучение и повышение квалификации</t>
  </si>
  <si>
    <t>Количество перевезенных пассажиров рейсами, выполняемыми по Плану пассажирских перевозок автомобильным транспортом</t>
  </si>
  <si>
    <t>тыс.чел.</t>
  </si>
  <si>
    <t xml:space="preserve">Количество перевезенных пассажиров по программе пассажирских авиаперевозок </t>
  </si>
  <si>
    <t>Протяженность дороги, на которой выполнен ремонт</t>
  </si>
  <si>
    <t>Талнахское территориальное управление</t>
  </si>
  <si>
    <t>Снежногорское территориальное управление</t>
  </si>
  <si>
    <t>Количество введенных объектов</t>
  </si>
  <si>
    <t>Администрация города Норильска, Региональный оператор по обращению с ТКО</t>
  </si>
  <si>
    <t>Приобретение нового технического оборудования, в рамках выделенных средств</t>
  </si>
  <si>
    <t>Охват МБ(А)ОУ</t>
  </si>
  <si>
    <t>Охват специалистов 
(в соответствии с требованиями министерства образования Красноярского края)</t>
  </si>
  <si>
    <t>Доля от общего числа обучающихся 5-11 классов</t>
  </si>
  <si>
    <t>Увеличение количества школьников, принимающих участие в он-лайн мероприятиях информационно-образовательной направленности.</t>
  </si>
  <si>
    <t>Доля МБ(А)ОУ, использующих ресурсы портала "Российская электронная школа"</t>
  </si>
  <si>
    <t>Доля охвата педагогических работников</t>
  </si>
  <si>
    <t>Обеспеченность учреждений современной техникой</t>
  </si>
  <si>
    <t>Доля МБ(А)ОУ, в которых созданы необходимые условия для качественной реализации программы предметной области "Технология"</t>
  </si>
  <si>
    <t>Количество образовательных учреждений, принявших участие в конкурсе</t>
  </si>
  <si>
    <t>Создание условий для развития научно-технического потенциала и повышение привлекательности инженерно-технических специальностей среди молодежи</t>
  </si>
  <si>
    <t>Количество общеобразовательных учреждений, принявших участие в фестивале</t>
  </si>
  <si>
    <t>Количество общеобразовательных учреждений, принявших участие в проекте</t>
  </si>
  <si>
    <t>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</si>
  <si>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0,0 
/ 183 614,6</t>
  </si>
  <si>
    <t>0,0
/ 183 614,6</t>
  </si>
  <si>
    <t>Открытие дополнительных групп дошкольного образования в учреждении социальной сферы в Центральном районе (Оганер)</t>
  </si>
  <si>
    <t>Количество вновь создаваемых мест дошкольного образования</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</si>
  <si>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</si>
  <si>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Охват занятостью несовершеннолетних, состоящих на учете</t>
  </si>
  <si>
    <t>Введение в эксплуатацию структурного подразделения МБУДО "СЮТ"</t>
  </si>
  <si>
    <t>млн. л</t>
  </si>
  <si>
    <t>Доля многоквартирных домов, требующих капитального ремонта, в общем количестве многоквартирных домов</t>
  </si>
  <si>
    <t>Процент строительства водоотводных сооружений</t>
  </si>
  <si>
    <t>Процент строительства водоотводного сооружения</t>
  </si>
  <si>
    <t>Замена морально устаревшего оборудования</t>
  </si>
  <si>
    <t>ТЭЦ-1. Мероприятия по устранению ограничений мощности и повышению надежности эксплуатации: 1. Замена генераторов; 2. Замена трансформаторов связи; 3. Замена защитных разрядников на ограничители перенапряжений.</t>
  </si>
  <si>
    <t>ТЭЦ-2. Мероприятия по устранению ограничений мощности и повышению надежности эксплуатации: 1. Замена фарфоровых изоляторов; 2.Замена блочных трансформаторов собственных нужд;</t>
  </si>
  <si>
    <t>ТЭЦ-3. Мероприятия по устранению ограничений мощности и повышению надежности эксплуатации: 1. Замена фарфоровых изоляторов; 2. Замена защитных разрядников типа на ограничители перенапряжений; 3. Замена оборудования секций, секций собственных нужд с масляными выключателями на комплектные распределительные устройства с вакуумными выключателями; 4. Замена  электромашинных и высокочастотных систем возбуждения генераторов на системы тиристорного самовозбуждения.</t>
  </si>
  <si>
    <t>Количество созданных временных рабочих мест для летней занятости подростков</t>
  </si>
  <si>
    <t xml:space="preserve">Доля граждан, получивших социальные услуги, в общем числе граждан, обратившихся за их получением </t>
  </si>
  <si>
    <t>Уровень удовлетворенности граждан качеством предоставления услуг</t>
  </si>
  <si>
    <t>Оснащенность центра оборудованием для реабилитации детей с ограниченными возможностями здоровья (к плановому показателю)</t>
  </si>
  <si>
    <t>Поддержка предпринимательства. Реализуются обучающие программы – «Азбука предпринимателя» и «Школа предпринимательства».</t>
  </si>
  <si>
    <t>Количество принявших в них участие</t>
  </si>
  <si>
    <t>Оснащенность прачечной  стирально-сушильным оборудованием для самообслуживания малоимущих семей</t>
  </si>
  <si>
    <t>Оснащенность центра специализированным автотранспортом для своевременного и мобильного предоставления социальных  услуг семьям с детьми и детям</t>
  </si>
  <si>
    <t>Оснащенность центра оборудованием для проведения психокоррекционной и психопрофилактической работы с несовершеннолетними и взрослыми (к плановому показателю)</t>
  </si>
  <si>
    <t>Укомплектованность социального проката предметами и оборудованием по уходу за детьми длительного использования</t>
  </si>
  <si>
    <t>Доля охвата семей, получивших гуманитарную помощь, от числа нуждающихся</t>
  </si>
  <si>
    <t xml:space="preserve">Доля инвалидов, прошедших  адаптацию в рамках социального проекта по обучению навыкам с целью организации сопровождаемого проживания и закрепления навыков самостоятельной жизни, от общего числа нуждающихся </t>
  </si>
  <si>
    <t>Доля инвалидов, прошедших  адаптацию в рамках социального проекта по обучению навыкам с целью трудоустройства в сфере торговли и обслуживания, от общего числа нуждающихся</t>
  </si>
  <si>
    <t>Количество общеобразовательных учреждений, принявших участие в конкурсных мероприятиях</t>
  </si>
  <si>
    <t xml:space="preserve">Организация участия обучающихся, занимающихся техническим творчеством в ежегодном фестивале научных открытий «Arctic Wave».   </t>
  </si>
  <si>
    <t xml:space="preserve">Участие обучающихся образовательных учреждений в проекте "Школа городских компетенций", который включает в себя: учебный-проектировочный семинар, фестиваль "Наш город" с представлением участниками разработанного проекта, способа его реализации.  </t>
  </si>
  <si>
    <t>Количество обследованных МСП (1 раз в 5 лет)</t>
  </si>
  <si>
    <t>Создание условий для качественной и эффективной реализации дополнительного образования на территории района Талнах</t>
  </si>
  <si>
    <t>Строительство картодрома (предполагаемый район строительства ДОСААФ или улица Нансена,) в результате которого будет увеличена обеспеченность учреждениями дополнительного образования для детей и подростков, внеурочной занятости. Для обеспечения возможности занятия картингом и научно-техническим творчеством детей и подростков старших классов, в том числе и относящихся к группам риска, будет построена площадка картодрома и здания с техническими, учебными и подсобными помещениями (включая гараж для хранения автомототехники).
Мощность объекта: 2 000 кв. м., 150 чел.
Количество создаваемых рабочих мест – 16 шт. ед.</t>
  </si>
  <si>
    <t xml:space="preserve">Развитие туристско-краеведческого направления дополнительного образования, популяризация здорового образа жизни и спорта  среди детей и молодежи
</t>
  </si>
  <si>
    <t>Реконструкция спортивно-оздоровительного комплекса "Оганер", город Норильск, ул. Вальковская, д.18, которая позволит привести здание и инженерные системы в соответствие с техническими нормами, снизив при этом уровень износа основных средств  для качественной и эффективной деятельности спортивно-оздоровительного комплекса.
Мощность объекта: 2 204 кв. м., посещаемость - 22,0 тыс. чел.</t>
  </si>
  <si>
    <t>Реконструкция здания для размещения дошкольного образовательного учреждения, г. Норильск, Центральный район, ул. Московская, д. 18.
Планируемый ввод объекта в эксплуатацию - 2020 год.
Мощность объекта: 236 мест.
Количество создаваемых рабочих мест - 75 шт. ед.</t>
  </si>
  <si>
    <t>Использование интерактивных уроков, разработанных для обучающихся с 1 по 11 класс, в соответствии с федеральным государственным образовательным стандартом (ФГОС) и примерной основной образовательной программой общего образования, обеспечивающих преемственность в изложении тем, формирование связей между предметами.</t>
  </si>
  <si>
    <t>Организация курсов повышения квалификации по соответствующей тематике для соответствующих категорий педагогических работников.
Проведение семинаров, круглых столов посвященных вопросам цифровизации образовательного процесса.</t>
  </si>
  <si>
    <t xml:space="preserve">Доля педагогических работников, прошедших курсы повышения квалификации 
</t>
  </si>
  <si>
    <t xml:space="preserve">Восстановление и развитие картинга как актуального для детей и молодежи направления технического творчества. </t>
  </si>
  <si>
    <t xml:space="preserve">Развитие детской телестудии "Перемена" муниципального бюджетного учреждения дополнительного образования "Дом детского творчества". Основные задачи: организация качественного медийного сопровождения городских мероприятий, обучение школьников основам тележурналистики с использованием современного оборудования, освоение приемов работы с профессиональным съемочным оборудованием, применяемым видео студиями. </t>
  </si>
  <si>
    <t>Инициирование участия образовательных учреждений в грантовой программе "Мир новых возможностей" Управления благотворительных программ ЗФ ПАО "ГМК"Норильский никель" в целях улучшения материально-технической базы образовательного учреждения, создания условий для реализации творческого потенциала школьников.</t>
  </si>
  <si>
    <t>Количество школьников, охваченных  спортивно-оздоровительной деятельностью на базе СОК "Оганер" (от общего числа школьников на территории)</t>
  </si>
  <si>
    <t>Создание информационного портала услуг, предоставляемых муниципальными учреждениями</t>
  </si>
  <si>
    <t xml:space="preserve">Реализация Стратегии развития профессиональной ориентации населения в Красноярском крае до 2020 года </t>
  </si>
  <si>
    <t>Администрация города Норильска, МБУ РЦ "Виктория"</t>
  </si>
  <si>
    <t xml:space="preserve">Создание комфортной и безопасной для здоровья жителей окружающей среды (аппаратно-программный комплекс «АПК Безопасный город») (в целях повышения общего уровня общественной безопасности и безопасности среды обитания за счет существенного улучшения координации деятельности экстренных оперативных служб, ДДС, организаций ответственных за решение этих задач, путем внедрения программно-аппаратного комплекса единого центра экстренного реагирования\, обеспечивающей мониторинг, прогнозирование, предупреждение и контроль ликвидации возможных угроз </t>
  </si>
  <si>
    <t>Организация пассажирских перевозок воздушным и автомобильным транспортом</t>
  </si>
  <si>
    <t>Разработка и внедрение программного комплекса, обучение специалистов. Разработка проекта размещения и устройство опорных пунктов, обустройство термометрических скважин для ведения термоконтроля.</t>
  </si>
  <si>
    <t>Направление - водоотведение. 
1. Модернизация очистных сооружений;   
2. Замена насосного оборудования;  
3. Замена загрузки биофильтров очистных сооружений района Талнах и жилого образования Оганер.</t>
  </si>
  <si>
    <t>В результате строительства высоконагружаемого полигона ТКО улучшится санитарная и эпидемиологическая обстановка в муниципальном образовании город Норильск. Мощность объекта: 14 000 т/год.</t>
  </si>
  <si>
    <t>В результате строительства и ввода в эксплуатацию предприятия ПО обезвреживанию отходов будет внедрена технология сбора и утилизации ТКО, отвечающая современным требованиям природоохранного законодательства.
Мощность объекта: 74327 т/год.</t>
  </si>
  <si>
    <t>создание нового обустроенного места отдыха</t>
  </si>
  <si>
    <t>Оказание информационных и консультационных услуг по использованию цифровых и облачных технологий с не ограниченными ресурсами</t>
  </si>
  <si>
    <t>0,0   
/ 50 000,0</t>
  </si>
  <si>
    <t>0,0 
/ 71 629,7</t>
  </si>
  <si>
    <t>0,0 
/ 129 706,8</t>
  </si>
  <si>
    <t>21 030,0  
/ 721 582,2</t>
  </si>
  <si>
    <t>21 850,2  
 / 749 723,9</t>
  </si>
  <si>
    <t>22 702,4 
/  778 963,1</t>
  </si>
  <si>
    <t>23 587,8  
/  809 342,7</t>
  </si>
  <si>
    <t>24 507,7    
/  840 907,1</t>
  </si>
  <si>
    <t>25 463,5 
/  873 702,5</t>
  </si>
  <si>
    <t>26 456,6   
/ 907 776,9</t>
  </si>
  <si>
    <t>27 488,4  
/ 943 180,2</t>
  </si>
  <si>
    <t>28 560,4 
/ 979 964,2</t>
  </si>
  <si>
    <t>Количество физкультурно-оздоровительных и спортивных мероприятий по военно-прикладным и техническим видам спорта проведенных на территории муниципального образования город Норильск (развитие военно-прикладных и технических видов спорта)</t>
  </si>
  <si>
    <t>Количество членов сборных команд Красноярского края по России по различным видам спорта (развитие спорта высших достижений)</t>
  </si>
  <si>
    <t>Доля населения, систематически занимающегося физической культурой и спортом</t>
  </si>
  <si>
    <t>Обеспеченность населения спортивными залами от нормативной потребности
Численность штатных работников физической культуры и спорта (развитие кадрового потенциала)</t>
  </si>
  <si>
    <t>Количество поддержанных молодежных социально-экономических проектов</t>
  </si>
  <si>
    <t>В целях поддержки инициатив молодежи города ежегодно проводятся городской конкурс молодежных проектов и образовательные сессии  проекта "Норильск 2020". По итогам мероприятий определяются проекты, финансирование на реализацию которых осуществляется за счет средств местного и краевого бюджетов. Реализация проектов, представленных на конкурсы, осуществляется на территории муниципального образования город Норильск.</t>
  </si>
  <si>
    <t>Удельный вес молодых граждан, вовлеченных в реализацию молодежных социально-экономических проектов, к общему количеству молодежи, проживающей в МО город Норильск</t>
  </si>
  <si>
    <t>В рамках мероприятия ежегодно проводятся молодежные фестивали, форумы, конкурсы, акции, мероприятия по стимулированию молодежи в учебной, спортивной, культурно-досуговой деятельности, а также организуется участие молодых людей в краевых проектах, семинарах и конференциях (фестиваль студенческого творчества "Студенческая весна в Норильске", городской праздник "Всероссийский День молодежи", "Городской конкурс молодежных проектов", образовательные сессии проекта "Норильск 2020", "Стипендии Главы города Норильска", "Молодежная премия Главы города Норильска", "Форум успешных практик" и иные мероприятия флагманских программ "Арт-парад", "Красволонтер", "Краслидер")</t>
  </si>
  <si>
    <t>Количество молодежи - участников мероприятий добровольческой и патриотической направленности</t>
  </si>
  <si>
    <t>В рамках мероприятия ежегодно проводятся конкурсы, акции, сборы,  организуется участие молодых людей в краевых слетах, фестивалях, семинарах, а также проводятся мероприятия в рамках Всероссийского движения "Юнармия" (фестиваль "Заполярный щит", конкурс "Доброволец года", акция "Георгиевская ленточка", "Торжественное посвящение в Юнармейцы",  "Гонка героев", "Эстафета добра", "Доброфорум" и иные мероприятия флагманских программ "Волонтеры Победы", "Добровольчество", "Ассоциация военно-патриотических клубов")</t>
  </si>
  <si>
    <t>Поддержка инициатив молодежи города</t>
  </si>
  <si>
    <t>Проведение молодежных социально-экономических проектов</t>
  </si>
  <si>
    <t>Мероприятия добровольческой и патриотической направленности</t>
  </si>
  <si>
    <t>Управление по спорту Администрации города Норильска, Отдел молодежной политики</t>
  </si>
  <si>
    <t>Количество детей, подростков и молодежи, вовлеченных в профилактические мероприятия</t>
  </si>
  <si>
    <t>Профилактические мероприятия для детей, подростков и молодежи</t>
  </si>
  <si>
    <t>Число волонтеров, обучаемых в пректе "Ровесник-ровеснику"</t>
  </si>
  <si>
    <t>Проект "Ровесник - ровеснику"</t>
  </si>
  <si>
    <t>Проект "Ты и Твои возможности"</t>
  </si>
  <si>
    <t>Общая площадь жилого фонда, приходящаяся в среднем на 1 жителя
Ввод в действие жилых домов на 1 жителя
Удельный вес общей площади жилищного фонда, оборудованной:водопроводом,канализацией,отоплением,горячим водоснабжением</t>
  </si>
  <si>
    <t xml:space="preserve">
кв. м/чел.
кв. м/чел.
%</t>
  </si>
  <si>
    <t>Организация обучения  по направлению органов службы занятости безработных граждан, незанятых граждан, которым в соответствии с законодательством РФ назначена трудовая пенсия по старости и которые стремятся возобновить трудовую деятельность, а также женщин в период отпуска по уходу за ребенком до достижения им возраста трех лет.</t>
  </si>
  <si>
    <t>Обучение граждан предпенсионного возраста в рамках федерального проекта «Старшее поколение» национального проекта «Демография».</t>
  </si>
  <si>
    <t>Создание партнерства с НГИИ по реализации проекта.</t>
  </si>
  <si>
    <t>Модернизация библиотеки №3 "Семейного чтения"</t>
  </si>
  <si>
    <t>Модернизация предполагает новый подход к работе библиотеки, начиная от внешнего вида фасада, внутренних интерьеров, графика работы, до функциональности пространств, внедрения новых инновационных форматов коммуникаций и взаимодействия с читателями.</t>
  </si>
  <si>
    <t>Комплектование библиотечных фондов</t>
  </si>
  <si>
    <t>Посещаемость библиотек</t>
  </si>
  <si>
    <t>Доля новых поступлений по отношению к объёму фондов</t>
  </si>
  <si>
    <t>1.2.1.3</t>
  </si>
  <si>
    <t>1.2.1.4</t>
  </si>
  <si>
    <t>Охват населения мероприятием в расчёте на 1000 чел.</t>
  </si>
  <si>
    <t>УДКиИ                МБУ ДО "НДХШ"</t>
  </si>
  <si>
    <t>ежегодно            с 2022</t>
  </si>
  <si>
    <t>Количество человек, принявших участие в конкурсах и фестивалях</t>
  </si>
  <si>
    <t xml:space="preserve">Обеспечение работы проекта «Всероссийский виртуальный концертный зал» в учреждениях культуры </t>
  </si>
  <si>
    <t>посещений  на 1 жителя</t>
  </si>
  <si>
    <t>Организация функционирования виртуального филиала Русского музея - информационно-образовательного центра «Русский музей: виртуальный филиал» на базе МБУ ДО "Норильская детская художественная школа</t>
  </si>
  <si>
    <t>1.2.1.5</t>
  </si>
  <si>
    <t>1.2.1.7</t>
  </si>
  <si>
    <t>1.3.6.2</t>
  </si>
  <si>
    <t>1.4.2.3</t>
  </si>
  <si>
    <t>1.6.4.3</t>
  </si>
  <si>
    <t>1.6.5.4</t>
  </si>
  <si>
    <t>1.6.5.8</t>
  </si>
  <si>
    <t>2.2.2.19</t>
  </si>
  <si>
    <t>2.2.2.21</t>
  </si>
  <si>
    <t>2.3.1.7</t>
  </si>
  <si>
    <t xml:space="preserve">Проведены инженерно-геологические изыскания </t>
  </si>
  <si>
    <t>Построено административно-бытовое здание</t>
  </si>
  <si>
    <t xml:space="preserve">Построен комплекс зданий гаражей </t>
  </si>
  <si>
    <t xml:space="preserve"> Проведены мероприятия по строительству и реконструкции объектов в области электроснабжения </t>
  </si>
  <si>
    <t>2.3.2.5</t>
  </si>
  <si>
    <t>2.3.2.6</t>
  </si>
  <si>
    <t>Круглогодичное производство овощей</t>
  </si>
  <si>
    <t xml:space="preserve">т/год               </t>
  </si>
  <si>
    <t>3.2.5.13</t>
  </si>
  <si>
    <t>3.2.5.14</t>
  </si>
  <si>
    <t>3.2.2.24</t>
  </si>
  <si>
    <t>3.2.2.25</t>
  </si>
  <si>
    <t>3.2.2.26</t>
  </si>
  <si>
    <t>Реализованы мероприятия по благоустройству озера Долгое</t>
  </si>
  <si>
    <t>Проведены мероприятия для обеспечение безопасности туристических маршрутов</t>
  </si>
  <si>
    <t xml:space="preserve">Проведены мероприятия по регистрации туристических групп </t>
  </si>
  <si>
    <t>Проведены мероприятия для обеспечения безопасности туристических групп</t>
  </si>
  <si>
    <t>Муниципальная поддержка воздушных пассажирских перевозок по маршруту Норильск - Снежногорск - Норильск путем заключения договора с организацией на осуществление указанных пассажирских перевозок.
Муниципальная поддержка маршрутов регулярных пассажирских перевозок с небольшой интенсивностью пассажирских потоков.</t>
  </si>
  <si>
    <t>%
чел.</t>
  </si>
  <si>
    <t>41,8
462</t>
  </si>
  <si>
    <t>45,7
484</t>
  </si>
  <si>
    <t>53,3
484</t>
  </si>
  <si>
    <t xml:space="preserve">Количество человек, принявших участие в соревнованиях туристического слета </t>
  </si>
  <si>
    <t>Активизация процесса по созданию местной сувенирной продукции. Привлечение внимания посетителей выставок к туристическим возможностям Таймыра.</t>
  </si>
  <si>
    <t>МКУ "УКРиС"                   УДКиИ</t>
  </si>
  <si>
    <t>МКУ "УКРиС", УДКиИ, АНО "АРН"</t>
  </si>
  <si>
    <t>МКУ "УКРиС",
УИ,
УГиЗ,
Снежногорское территориальное управление</t>
  </si>
  <si>
    <t>МКУ "УКРиС", ЗФ ПАО "ГМК "Норильский никель"</t>
  </si>
  <si>
    <t>Количество туристских проектов, отобранных для содействия в их реализации на территории г. Норильска и ТДНМР</t>
  </si>
  <si>
    <t>УОиДО, Управление ГО и ЧС г. Норильска, ФГБОУ ВО "Норильский индустриальный институт"</t>
  </si>
  <si>
    <t>КГКУ "ЦЗН г.Норильска";
АНО "АРН"</t>
  </si>
  <si>
    <t>АНО "АРН"</t>
  </si>
  <si>
    <t>АНО "АРН", Администрация города Норильска</t>
  </si>
  <si>
    <t>Внедрение RFID-системы обслуживания читателей в Публичной библиотеке города Норильска и Детской библиотеке имени Саши Петряева</t>
  </si>
  <si>
    <t>Оснащение библиотечного фонда RFID-метками (229 538 экземпляров), установка станций библиотечного обслуживания, станций читательского самообслуживания, программируемых противокражных ворот, реорганизация книжного фонда по принципу открытого доступа.</t>
  </si>
  <si>
    <t>Направление - энергоэффективность.
В бюджетной сфере:
1. Модернизация узлов учета ТЭР и воды с установкой приборов учета на горячую воду;
2. Замена неэффективного осветительного оборудования  внутреннего/наружного освещения  на современное  светодиодное;
3. Установка теплообменников на ГВС на муниципальных объектах.
В жилищном фонде:
1.Утепление контура жилых зданий, замена дверных, оконных блоков;
2. Установка антивандальных и энергосберегающих светильников на объектах жилищного фонда и в местах общего пользования;
3. Ремонт изоляции трубопроводов в подвальных помещениях;
4. Установка балансировочных вентилей и запорно-регулирующей арматуры.</t>
  </si>
  <si>
    <t>В рамках мероприятия реализуется проект первичной профилактики, включающий в себя профилактические занятия, индивидуальные и групповые консультации с учащимися общеобразовательных организаций, студентами образовательных организаций среднего и высшего профессионального образования, расположенными на территории муниципального образования город Норильск. В рамках мероприятия также реализуется проект "Телефон экстренной психологической помощи", направленный на оказание населению муниципального образования город Норильск экстренной психологической помощи. Также в целях формирования здорового молодого поколения проводятся мероприятия здоровьесберегающего направления в рамках флагманских программ "Объединение спортивной молодежи" и Экстремальный спорт".</t>
  </si>
  <si>
    <t>Установка домиков для проживания гостей, организация и установка геокемпингов, оптимизация транспортных прогулок для жителей города.</t>
  </si>
  <si>
    <t>Строительство современного общеобразовательного учреждения нового формата на базе МАОУ "Гимназия № 4"
2019 - изыскательские работы, проектные работы, прохождение государственной экспертизы - 16 383,9 тыс. руб.</t>
  </si>
  <si>
    <t>Создание и размещение рекламных баннеров о достопримечательностях Норильска повысит интерес со стороны гостей г. Дудинка, приехавших посетить в том числе международные мероприятия (турнир по керлингу или туристов, приехавших в этно-деревню). Размещение билбордов в доль автодороги Норильск-Алыкель, в аэропорту Алыкель и в г. Дудинка.</t>
  </si>
  <si>
    <t>Доля библиотечного фонда, оснащенного RFID-метками</t>
  </si>
  <si>
    <t>Количество проектов, получивших финансовую поддержку из внебюджетных источников</t>
  </si>
  <si>
    <t>Управление по спорту Администрации города Норильска, Отдел молодежной политики
ФГБОУ ВО "НГИИ"</t>
  </si>
  <si>
    <t>по согласованию с РОИВ (в соответствии с схемой территориального планирования Красноярского края)</t>
  </si>
  <si>
    <t>УЖКХ, 
ООО «НПО «Фундамент»</t>
  </si>
  <si>
    <t xml:space="preserve">Строительство комплекса зданий (гаражей), коммуникационных сооружений базы МКУ «Служба спасения» в районе ж/о Оганер (Территория и здания городка МЧС "Наледная" расположены и принадлежат Министерству обороны РФ). </t>
  </si>
  <si>
    <t>Администрация города Норильска, АО «НТЭК», МУП «КОС»</t>
  </si>
  <si>
    <t>Домостроительный комбинат «Таймырский»</t>
  </si>
  <si>
    <t>Количество реализованных проектов по благоустройству</t>
  </si>
  <si>
    <t>УГХ,
УЖКХ</t>
  </si>
  <si>
    <t>Отбор туристских проектов и содействие в их реализации на территории г. Норильска</t>
  </si>
  <si>
    <t>АНО "АРН"
Администрация г. Норильска</t>
  </si>
  <si>
    <t>Развитие системы туристской навигации (информационных носителей на английском и русском языках) на территории г. Норильска</t>
  </si>
  <si>
    <t>Организация исследовательских поездок по туристским маршрутам Норильска с целью подготовки материалов о туристских возможностях территории для ее продвижения</t>
  </si>
  <si>
    <t>Разработка брендовых туров г. Норильска. Комплексная оценка результата и разработка стратегии дальнейшего развития. Обеспечение формирования бренда туристско-рекреационного кластера «Арктический»</t>
  </si>
  <si>
    <t>АНО "АРН"
Администрация 
г. Норильска</t>
  </si>
  <si>
    <t>Администрация 
г. Норильска</t>
  </si>
  <si>
    <t>Администрация 
г. Норильска
(УДКиИ)</t>
  </si>
  <si>
    <t>АНО "АРН"
Администрация 
г. Норильска совместно с Агентством по туризму Красноярского края (по согласованию)</t>
  </si>
  <si>
    <t>Администрация 
г. Норильска (Управление по спорту)</t>
  </si>
  <si>
    <t>Администрация 
г. Норильска
(МАУ "ЦРТ")</t>
  </si>
  <si>
    <t>Администрация 
г. Норильска (Управление общественных связей, УДКиИ)</t>
  </si>
  <si>
    <t>Создание Коллегиального органа по развитию туризма</t>
  </si>
  <si>
    <t>Администрация 
г. Норильска, ТДНМР, АНО "АРН"</t>
  </si>
  <si>
    <t>Создание центра развития туризма в Норильске</t>
  </si>
  <si>
    <t xml:space="preserve"> УИиС, 
МКУ "УКРиС"</t>
  </si>
  <si>
    <t>2019 - работа по разработке предпроектной, проектно-сметной и рабочей документацией на строительство двух 9-ти этажных домов на существующих ростверках в рамках 3-сторонних договоров.
Строительство с 2020 года.</t>
  </si>
  <si>
    <t>Рост туристического потока</t>
  </si>
  <si>
    <t>Количество санкционированного размещения отходов</t>
  </si>
  <si>
    <t xml:space="preserve">
24,35
0,01
100</t>
  </si>
  <si>
    <t xml:space="preserve">
23,69
0,08
100</t>
  </si>
  <si>
    <t xml:space="preserve">
23,7
0,08
100</t>
  </si>
  <si>
    <t xml:space="preserve">
23,8
0,08
100</t>
  </si>
  <si>
    <t xml:space="preserve">
23,9
0,08
100</t>
  </si>
  <si>
    <t xml:space="preserve">
23,93
0,89
100</t>
  </si>
  <si>
    <t xml:space="preserve">
23,95
0,89
100</t>
  </si>
  <si>
    <t xml:space="preserve">
23,98
0,89
100</t>
  </si>
  <si>
    <t xml:space="preserve">
24
0,89
100</t>
  </si>
  <si>
    <t xml:space="preserve">
24.1
0,89
100</t>
  </si>
  <si>
    <t>Министерство транспорта,
Российские железные дороги,
Правительство Красноярского края</t>
  </si>
  <si>
    <t>Федеральное агентство воздушного транспорта, 
ПАО "ГМК "Норильский никель"</t>
  </si>
  <si>
    <t>УЖКХ,
УЖФ</t>
  </si>
  <si>
    <t>Администрация города Норильска,
ЗФ ПАО "ГМК "Норильский никель",
АО "НТЭК",
МУП "КОС", 
УЖКХ,
УГХ,
ООО "Байкал-2000",
Региональный оператор по обращению с ТКО</t>
  </si>
  <si>
    <t>Создание сайта о туристских возможностях Норильска и его мобильного приложения</t>
  </si>
  <si>
    <t>Администрирование и продвижение сайта о туристских возможностях Норильска</t>
  </si>
  <si>
    <t>АНО "АРН"
Администрация 
г. Норильска
(МАУ "ЦРТ")</t>
  </si>
  <si>
    <t>2021-2030</t>
  </si>
  <si>
    <t>Доля оцифрованного библиотечного фонда</t>
  </si>
  <si>
    <t>Количество посещений сайта в год</t>
  </si>
  <si>
    <t xml:space="preserve">Разработка и запуск сайта о туристических возможностях Таймыра. Создание его мобильного приложения. Обеспечение информирования потенциальных туристов о туристических возможностях Таймыра.
</t>
  </si>
  <si>
    <t>Строительство Многофункционального физкультурно-оздоровительного комплекса (МФОК) в г. Норильске</t>
  </si>
  <si>
    <t>2024-2025</t>
  </si>
  <si>
    <t xml:space="preserve">Реализация программ спортивной подготовки, а также программ подготовки спортивного резерва.
</t>
  </si>
  <si>
    <t>Благоустройство озера Долгое</t>
  </si>
  <si>
    <t>Реконструкция здания МБДОУ "Детский сад № 69", г. Норильск, район Талнах, ул. Бауманская, д. 21.
Планируемый ввод объекта в эксплуатацию - 2019 год.
Мощность объекта: 217 мест.
Количество создаваемых рабочих мест – 75 шт. ед.</t>
  </si>
  <si>
    <t>Реконструкция здания бывшей школы 
МБОУ "СОШ № 41", корп. 2, г. Норильск, Центральный район, ул. Вальковская, д. 6.
Планируемый ввод объекта в эксплуатацию - 2025 год.
Мощность объекта: 125 мест.
Количество создаваемых рабочих мест – 33 шт. ед.</t>
  </si>
  <si>
    <r>
      <t>Строительство здания дошкольного образовательного учреждения, город Норильск, район Талнах, в районе 5 микрорайона.
Мощность объекта: 270 мест, площадь застройки ориентировочно составляет 4 980 кв. м</t>
    </r>
    <r>
      <rPr>
        <vertAlign val="superscript"/>
        <sz val="19"/>
        <rFont val="Times New Roman"/>
        <family val="1"/>
        <charset val="204"/>
      </rPr>
      <t>2</t>
    </r>
    <r>
      <rPr>
        <sz val="19"/>
        <rFont val="Times New Roman"/>
        <family val="1"/>
        <charset val="204"/>
      </rPr>
      <t>.
Количество создаваемых рабочих мест – 75 шт. ед.</t>
    </r>
  </si>
  <si>
    <r>
      <t>МФОК станет основной тренировочной базой местного мини-футбольного клуба. Здесь планируется проводить тренировки детских мини-футбольных команд города, а также игры чемпионата России по мини-футболу среди клубов Суперлиги, матчи Кубка РФ. Кроме того, планируются занятия физкультурников, волейболистов, баскетболистов, бадминтонистов, любителей других видов спорта. Предусмотрены помещения для тренажерного и конференц-зала, судейские комнаты, кафе. 
Площадь застройки - 4600 м</t>
    </r>
    <r>
      <rPr>
        <vertAlign val="superscript"/>
        <sz val="19"/>
        <color theme="1"/>
        <rFont val="Times New Roman"/>
        <family val="1"/>
        <charset val="204"/>
      </rPr>
      <t>2</t>
    </r>
    <r>
      <rPr>
        <sz val="19"/>
        <color theme="1"/>
        <rFont val="Times New Roman"/>
        <family val="1"/>
        <charset val="204"/>
      </rPr>
      <t xml:space="preserve">
Общая площадь здания - 10060 м</t>
    </r>
    <r>
      <rPr>
        <vertAlign val="superscript"/>
        <sz val="19"/>
        <color theme="1"/>
        <rFont val="Times New Roman"/>
        <family val="1"/>
        <charset val="204"/>
      </rPr>
      <t>2</t>
    </r>
    <r>
      <rPr>
        <sz val="19"/>
        <color theme="1"/>
        <rFont val="Times New Roman"/>
        <family val="1"/>
        <charset val="204"/>
      </rPr>
      <t xml:space="preserve">
Полезная площадь - 9500 м</t>
    </r>
    <r>
      <rPr>
        <vertAlign val="superscript"/>
        <sz val="19"/>
        <color theme="1"/>
        <rFont val="Times New Roman"/>
        <family val="1"/>
        <charset val="204"/>
      </rPr>
      <t xml:space="preserve">2
</t>
    </r>
    <r>
      <rPr>
        <sz val="19"/>
        <color theme="1"/>
        <rFont val="Times New Roman"/>
        <family val="1"/>
        <charset val="204"/>
      </rPr>
      <t>Количество зрительских мест на трибунах - 1000.</t>
    </r>
  </si>
  <si>
    <r>
      <t>Строительство административного здания для Управления социальной политики Администрации города Норильска мощностью 2700 м</t>
    </r>
    <r>
      <rPr>
        <vertAlign val="superscript"/>
        <sz val="19"/>
        <rFont val="Times New Roman"/>
        <family val="1"/>
        <charset val="204"/>
      </rPr>
      <t>2</t>
    </r>
    <r>
      <rPr>
        <sz val="19"/>
        <rFont val="Times New Roman"/>
        <family val="1"/>
        <charset val="204"/>
      </rPr>
      <t>, пропускной способностью 1000 человек в неделю.</t>
    </r>
  </si>
  <si>
    <r>
      <t>Для организации отдыха и досуга в летнее и зимнее время разных групп населения города предусмотрена реализация проекта по благоустройству территории площадью 233 742 м</t>
    </r>
    <r>
      <rPr>
        <vertAlign val="superscript"/>
        <sz val="19"/>
        <color theme="1"/>
        <rFont val="Times New Roman"/>
        <family val="1"/>
        <charset val="204"/>
      </rPr>
      <t>2</t>
    </r>
    <r>
      <rPr>
        <sz val="19"/>
        <color theme="1"/>
        <rFont val="Times New Roman"/>
        <family val="1"/>
        <charset val="204"/>
      </rPr>
      <t>, прилегающей к озеру Долгое в Центральном районе города Норильска.</t>
    </r>
  </si>
  <si>
    <r>
      <t xml:space="preserve">Содействие в создании системы навигации, обеспечивающей благоприятную гостеприимную среду в целях увеличения времени пребывания и уровня комфорта находящихся на территории туристов. </t>
    </r>
    <r>
      <rPr>
        <sz val="19"/>
        <color rgb="FFFF0000"/>
        <rFont val="Times New Roman"/>
        <family val="1"/>
        <charset val="204"/>
      </rPr>
      <t>Внедрение QR-кодов</t>
    </r>
    <r>
      <rPr>
        <sz val="19"/>
        <color theme="1"/>
        <rFont val="Times New Roman"/>
        <family val="1"/>
        <charset val="204"/>
      </rPr>
      <t>. Изготовление полиграфической продукции о Таймыре. Разработка схемы установки информационных знаков системы навигации в сфере туризма.</t>
    </r>
  </si>
  <si>
    <t>Создание оптимальных условий для занятий техническим творчеством как одного из наиболее востребованных направлений дополнительного образования</t>
  </si>
  <si>
    <t>Мониторинг одаренных детей и молодежи, занимающихся в образовательных учреждениях, подведомственных Управлению по делам культуры и искусства Администрации города Норильска, в целях организации их участия в выездных конкурсах и фестивалях.</t>
  </si>
  <si>
    <t>Обучение специалистов МБ(А)ОУ, участвующих в организации и проведении государственной итоговой аттестации в 9 и 11 классах на федеральных и краевых он-лайн площадках</t>
  </si>
  <si>
    <r>
      <t xml:space="preserve">Отбор не менее 2 проектов для совместной реализации в сфере развития туризма. Разработка инвестиционных проектов. </t>
    </r>
    <r>
      <rPr>
        <sz val="19"/>
        <color rgb="FFFF0000"/>
        <rFont val="Times New Roman"/>
        <family val="1"/>
        <charset val="204"/>
      </rPr>
      <t xml:space="preserve">Привлечение инвестиций. </t>
    </r>
  </si>
  <si>
    <t xml:space="preserve">Создано и размещено рекламных баннеров </t>
  </si>
  <si>
    <t>Планируемый к строительству региональный объект в области образования (в соответствии с схемой территориального планирования Красноярского края)</t>
  </si>
  <si>
    <t>Планируемый к строительству и реконструкции объект регионального значения  (в соответствии с схемой территориального планирования Красноярского края) автомобильная дорога Туруханск-Игарка-Дудинка</t>
  </si>
  <si>
    <t>Строительство автомобильной дороги общей протяженностью 763,2 км (уточняется на дальнейших этапах проектирования), позволит обеспечить транспортную доступность между муниципальными образованиями Красноярского края.</t>
  </si>
  <si>
    <t>2021-2026</t>
  </si>
  <si>
    <t>2023-2026</t>
  </si>
  <si>
    <t>2022-2030</t>
  </si>
  <si>
    <t>2011-2030</t>
  </si>
  <si>
    <t>Разработка эскизного проекта Арктического музея современного искусства. Реконструкция здания по адресу: г. Норильск, Центральный район, ул. Комсомольская, д. 37 с целью размещения в нем Арктического музея современного искусства. Мощность объекта: 3537,3 кв. м. Количество создаваемых рабочих мест - 11 ед.</t>
  </si>
  <si>
    <t>Строительство загородного комплекса отдыха «Горизонт». 
Содействие в организации загородного комплекса отдыха "Горизонт"</t>
  </si>
  <si>
    <t>Посещаемость загородного комплекса</t>
  </si>
  <si>
    <t xml:space="preserve">Организация профессионального обучения и дополнительного профессионального образования граждан предпенсионного возраста </t>
  </si>
  <si>
    <t>Обеспечение реализации программ спортивной подготовки и программ подготовки спортивного резерва (охват обучающихся по программам от численности детей 5-18 лет)</t>
  </si>
  <si>
    <r>
      <t xml:space="preserve">В результате реализации проекта планируется открытие 3-х этажной гостиницы на 82 номеров, с рестораном. Мощность объекта: 3680 кв.м. </t>
    </r>
    <r>
      <rPr>
        <sz val="19"/>
        <color rgb="FF000000"/>
        <rFont val="Times New Roman"/>
        <family val="1"/>
        <charset val="204"/>
      </rPr>
      <t xml:space="preserve">Количество создаваемых рабочих мест – 70 ед. </t>
    </r>
  </si>
  <si>
    <t>ООО "Главстрой",
АНО "АРН"
Администрация 
г. Норильска</t>
  </si>
  <si>
    <t>ООО "Русская платина", 
ЗФ ПАО "ГМК "Норильский никель"</t>
  </si>
  <si>
    <t>Размещение творческих коллективов МБУК «Городской центр культуры». Обеспечение учреждений культуры необходимыми площадями для создания качественных условий размещения творческих коллективов, клубных формирований, творческих объединений. Мощность объекта: 3764,7 м. кв. Количество создаваемых рабочих мест - 23 ед.</t>
  </si>
  <si>
    <t>АНО "АРН". Благотворительный Фонд социальной поддержки "Достоинство"</t>
  </si>
  <si>
    <t>Реализуется мероприятие</t>
  </si>
  <si>
    <t>Реализованы программные мероприятия Схемы комплексного использования и охраны водных объектов</t>
  </si>
  <si>
    <t>Реализованы мероприятия по ликвидации несанкционированных свалок</t>
  </si>
  <si>
    <t>Удельный вес населения, посещающего концертный зал</t>
  </si>
  <si>
    <t>Создан туристско-рекреационный кластер "Красноярская Арктика"</t>
  </si>
  <si>
    <t>Создана туристская дестинация «Сияние Арктики»</t>
  </si>
  <si>
    <t>Количество номерного фонда</t>
  </si>
  <si>
    <t>Распространение и продвижение бренда, продажа туристских услуг. Оповещение о туристских услугах на отдельных сайтах, рекламных страницах, в поисковых системах, статьях, объявлениях, гиперссылках, интерактивных роликах, рассылке посредством email и т.д., для достижения разнообразных целей.</t>
  </si>
  <si>
    <t>Реализация комплекса мероприятий национального стратегического направления Российской Федерации «Цифровая экономика» по отраслям: - Кадры и образование; - Информационная инфраструктура; - Информационная безопасность; - Государственное управление; - Умный город; -    Цифровое здравоохранение.
Внедрение современных автоматизированных систем мониторинга обстановки на территории и системы быстрого реагирования.</t>
  </si>
  <si>
    <t>Разведка и доразведка сульфидных медно-никелевых руд</t>
  </si>
  <si>
    <t xml:space="preserve">Для обеспечения надежной минерально-сырьевой базы Компании, осуществляется проведение работ по разведке и доразведке сульфидных медно-никелевых руд на Масловском месторождении, а также на глубоких горизонтах и флангах Октябрьского и Талнахского месторождений с целью последовательного вовлечения их в эксплуатацию. </t>
  </si>
  <si>
    <t>по мере необходимости</t>
  </si>
  <si>
    <t>3.1.2.1</t>
  </si>
  <si>
    <t>0,0
/39 090,6</t>
  </si>
  <si>
    <t>Отдел молодежной политики Управления по спорту Администрации города Норильска</t>
  </si>
  <si>
    <t>Создано МАУ "ЦРТ"</t>
  </si>
  <si>
    <t xml:space="preserve">Разработана схема установки информационных знаков 
системы навигации в сфере туризма. </t>
  </si>
  <si>
    <t xml:space="preserve">Объем финансового обеспечения в рамках бюджета МО г. Норильск  на 2019-2021гг и внебюджетных средств,
(тыс. руб.) </t>
  </si>
  <si>
    <t xml:space="preserve">Общее финансирование на 2019-2030 гг,
(тыс. руб.) </t>
  </si>
  <si>
    <t>0,0
/33 090,6</t>
  </si>
  <si>
    <t>1.1.1.12</t>
  </si>
  <si>
    <t>1.1.1.20</t>
  </si>
  <si>
    <t>1.1.1.21</t>
  </si>
  <si>
    <t>1.1.2.1</t>
  </si>
  <si>
    <t>1.1.2.2</t>
  </si>
  <si>
    <t>1.2.1.6</t>
  </si>
  <si>
    <t>1.4.2.1</t>
  </si>
  <si>
    <t>1.4.2.2</t>
  </si>
  <si>
    <t>1.6.4.2</t>
  </si>
  <si>
    <t>1.6.5.3</t>
  </si>
  <si>
    <t>1.6.5.6</t>
  </si>
  <si>
    <r>
      <t>Приобретение интерактивной системы , проекционного экрана (180*180), ноутбука диагональю 17,3"  для использования при проведении организационных и методических мероприятий, осуществления групповой работы. Приобретение сервера</t>
    </r>
    <r>
      <rPr>
        <i/>
        <sz val="19"/>
        <rFont val="Times New Roman"/>
        <family val="1"/>
        <charset val="204"/>
      </rPr>
      <t xml:space="preserve"> </t>
    </r>
    <r>
      <rPr>
        <sz val="19"/>
        <rFont val="Times New Roman"/>
        <family val="1"/>
        <charset val="204"/>
      </rPr>
      <t>для обеспечения функционирования информационной структуры учреждения и ее соответствия текущим требованиям и стандартам, МФУ А3 (цветная печать)  для тиражирования информационных раздаточных материалов профилактического характера, распространяемых среди населения.</t>
    </r>
  </si>
  <si>
    <t>Приобретение микроавтобуса  для обеспечения своевременного предоставления социальных услуг семьям с детьми и детям, оказавшимся в ситуации неблагополучия; обеспечения мобильности специалистов при осуществлении работы в районах Талнах, Кайеркан, ж/о Оганер, в ходе проведения обследований условий проживания несовершеннолетних, посещения на дому семей, состоящих на профилактическом учете, предоставления социальных услуг в составе междисциплинарных мобильных бригад.</t>
  </si>
  <si>
    <t>Улучшение жилищных условий молодых семей путем предоставления социальных выплат на приобретение жилого помещения (за счет федерального, краевого и местного бюджетов).</t>
  </si>
  <si>
    <t>Профориентационные экскурсии на предприятия ЗФ и РОКС Компании «Норильский никель».</t>
  </si>
  <si>
    <t>Углубленное изучение профильных предметов обучающимися, мотивированными на получение технических специальностей, востребованных в Компании "Норильский никель".</t>
  </si>
  <si>
    <t>Мероприятия в рамках профориентационного конкурса "Я б в рабочие пошел!".</t>
  </si>
  <si>
    <t>Конкурс методических разработок по профориентации "Наш навигатор - профориентатор".</t>
  </si>
  <si>
    <t>Мероприятия в рамках проекта "Навигатор будущего".</t>
  </si>
  <si>
    <t>Квест-игра "Экскурсия по городу".</t>
  </si>
  <si>
    <t>Мероприятия в рамках реализации профориентационного фестиваля творчества "Профессии родного города".</t>
  </si>
  <si>
    <t>Социальные практики школьников в подразделениях ЗФ и РОКС НН.</t>
  </si>
  <si>
    <t>Реализация проекта "Наши ценности в работе и жизни".</t>
  </si>
  <si>
    <t>Реализация плана культурно-досуговых, спортивных и профориентационных мероприятий в рамках деятельности ТОШ.</t>
  </si>
  <si>
    <t>Неделя нано технологий и технопредпринимательства «Нанонашествие» в рамках проекта развития научно-технического творчества и ранней профориентации.</t>
  </si>
  <si>
    <t>Организация участия обучающихся в конкурсных мероприятиях, направленных на развитие научно-технического творчества, инженерной мысли и познавательного интереса у детей и молодежи: научно-технический марафон "Арктик PRO", Конкурс юных изобретателей "I MAKE", Образовательная программа "РОБОНИКЕЛЬ".</t>
  </si>
  <si>
    <t>1.Создание учебно-материальной базы для вновь создаваемых специализированных профессионально ­ ориентированных классов «МЧС-резерв» в районах Талнах, Кайеркан, г.п. Снежногорск.</t>
  </si>
  <si>
    <t>1. Определение помещения, отвечающего необходимым требованиям;
2. Подбор и принятие на работу преподавательского состава;
3. Оснащение помещения, необходимой учебно-материальной базой.</t>
  </si>
  <si>
    <t>Формирование, учет, изучение, обеспечение физического сохранения и безопасности фондов библиотеки.</t>
  </si>
  <si>
    <t>Обеспечение жителям МО г. Норильск свобдного доступа к образцам мирового классического искусствав целях формирования гармонично развитой личности.</t>
  </si>
  <si>
    <t>Расширение кругозора зрительской аудитории Норильска в области основных тенденций развития современного театрального искусства.</t>
  </si>
  <si>
    <t>Формирование новых сценариев свободного времени для жителей города и туристов; поддержку взаимодействия норильского сообщества с ведущими российскими и международными культурными организациями; вовлечение местных жителей в реализацию городских социокультурных инициатив.</t>
  </si>
  <si>
    <t>Участие творческих коллективов Норильска в традиционном Таймырском фестивале "Мы сможем сердцем Арктику...", г.Дудинка.</t>
  </si>
  <si>
    <t>Участие коллективов Норильска и Дудинки в проведении  мероприятий "Проект двух территорий: Таймыр и Норильск" в рамках межведомственного взаимодействия.</t>
  </si>
  <si>
    <t>Внедрение современных технологий в работу библиотек в рамках цифровой лаборатории молодежного инновационного творчества "ФабЛаб-Норильск" с привлечением дополнительных источников финансирования за счет участия в грантовых программах.</t>
  </si>
  <si>
    <t>Внедрение современных технологий в музейную деятельность с помощью разработки современных проектов в рамках "PolArt-резиденция" с привлечением дополнительных источников финансирования за счет участия в грантовых программах.</t>
  </si>
  <si>
    <t>Организация  участия спортивных сборных команд в официальных спортивных мероприятиях.</t>
  </si>
  <si>
    <t>Проведение городских спортивных мероприятий по военно-прикладным видам спорта, а также техническим видам спорта на основании утвержденного календарного плана спортивно-массовых мероприятий муниципального образования город Норильск.</t>
  </si>
  <si>
    <t>Внедрение Всероссийского физкультурно-спортивного комплекса ГТО.</t>
  </si>
  <si>
    <t>Привлечение максимального количества жителей города к занятиям физической культурой и спортом.</t>
  </si>
  <si>
    <t>Привлечение лиц с ограниченными возможностями здоровья к систематическим занятиям физической культурой и спортом.</t>
  </si>
  <si>
    <t>Планируемый к строительству региональный объект в области физической культуры и спорта (в соответствии с схемой территориального планирования Красноярского края).</t>
  </si>
  <si>
    <t>Проект, направленный на содействие молодежи города Норильска в организации временной занятости.</t>
  </si>
  <si>
    <t>Создание городского антинаркотического клуба для старшеклассников, которые в дальнейшем помогают специалистам по профилактике в проведении профильных мероприятий, организуют и проводят такие мероприятия в своих школах.</t>
  </si>
  <si>
    <t>Временное трудоустройство несовершеннолетних граждан в летний период в рамках государственной программы "Содействие занятости населения", а также муниципальной программы "Содействие занятости населения".</t>
  </si>
  <si>
    <t>Создание временных рабочих мест для молодежи от 14 до 18 лет на летний период.</t>
  </si>
  <si>
    <t>Проект, направленный на информирование молодежи города Норильска о возможности досуговой занятости, а также проведение мероприятий по вопросам профилактики безнадзорности, правонарушений и преступлений среди несовершеннолетних.</t>
  </si>
  <si>
    <t>Организация и проведение официальных спортивных, физкультурных (физкультурно-оздоровительных) мероприятий.</t>
  </si>
  <si>
    <t>Увеличение числа СОНКО, получивших муниципальные формы поддержки (согласно положению "О поддержке социально ориентированных некоммерческих организаций органами местного самоуправления муниципального образования город Норильск":
1. Финансовая поддержка СОНКО;
2. Имущественная поддержка СОНКО;
3. Информационная поддержка СОНКО;
4. Консультационная поддержка СОНКО.</t>
  </si>
  <si>
    <t>Создание национально-культурного центра, как площадки для реализации мероприятий в сфере межнациональных отношений. Здесь будут проходить конференции, концерты, семинары, круглые столы, пресс-конференции, встречи с соотечественниками, будет оказана поддержка коллективам самодеятельного народного творчества. Планируются образовательные, научно-методические, творческие программы, художественные выставки, будет задумано и реализовано много общих, межнациональных проектов и программ развития, а взаимодействие и сотрудничество будет все время прирастать.
В основе деятельности НКЦ лежит задача возрождения и поддержания национальных культур, в рамках которой осуществляется преимущественно.</t>
  </si>
  <si>
    <t>В реконструированном здании планируется размещение структурных подразделений Администрации города Норильска.
2018-2019 - изыскательские работы, проектные работы на реконструкцию здания, прохождение государственной экспертизы.</t>
  </si>
  <si>
    <t>Реализация проекта перевода муниципальных услуг в электронный вид. Разработка портальных форм для Портала государственных услуг, перевод муниципальных услуг в электронный вид.</t>
  </si>
  <si>
    <t>Разработка сайта, наполнение информацией.</t>
  </si>
  <si>
    <t>Трудоустройство граждан в рамках Региональной программы повышения мобильности трудовых ресурсов, утверждённой Постановлением Правительства Красноярского края № 391-п от 27.07.2015, и получение работодателями финансовой поддержки, предусмотренной сертификатом на привлечение трудовых ресурсов.</t>
  </si>
  <si>
    <t>Прием заявлений и документов от граждан на получение социальной выплаты для приобретения жилья в благоприятных для проживания регионах Российской Федерации. Установление права граждан на получение социальных выплат в соответствии с законодательством Российской Федерации. Вручение свидетельств о предоставлении социальной выплаты. Прием жилых помещений от получателей социальных выплат в муниципальную собственность для дальнейшего предоставления нуждающимся гражданам в порядке, установленном законодательством Российской Федерации. Предоставление единовременной доплаты к социальной выплате на приобретение жилых помещений отдельным категориям граждан.</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</si>
  <si>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t>
  </si>
  <si>
    <t>Исполнение межведомственного плана мероприятий на 2018-2020 годы по реализации Стратегии развития и профессиональной ориентации населения муниципального образования город Норильск до 2020 года.</t>
  </si>
  <si>
    <t>Профориентационная деятельность добровольцев-профориентаторов (участие в проведении территориальных массовых профориентационных мероприятий). 
Профориентационное сопровождение временной занятости подростков.</t>
  </si>
  <si>
    <t>Взаимодействие с муниципальными органами местного самоуправления, общеобразовательными организациями, профессиональными образовательными организациями по организации профориентации молодежи, проживающей в Арктической зоне.</t>
  </si>
  <si>
    <t>Организация взаимодействия с образовательными организациями по вопросу совместного подбора вариантов трудоустройства, проведение адресной работы по содействию в трудоустройстве выпускников.</t>
  </si>
  <si>
    <t>Совместный проект Администрации города Норильска, МБУ РЦ "Виктория", коммерческих организаций, с целью обучения навыкам практической работы и трудоустройства инвалидов в сфере торговли и обслуживания.</t>
  </si>
  <si>
    <t>Предоставление субсидии на возмещение затрат работодателей на оплату труда выпускников образовательных организаций высшего образования и профессиональных образовательных организаций, безработных и ищущих работу граждан, принимающих участие в мероприятии по стажировке в целях приобретения ими опыта работы.</t>
  </si>
  <si>
    <t>Организация создания временных рабочих мест с предоставлением возмещения затрат работодателям на оплату труда временно трудоустраиваемых безработных.</t>
  </si>
  <si>
    <t>Организация переобучения и повышения квалификации женщин в период отпуска по уходу за ребенком в возрасте до трех лет.</t>
  </si>
  <si>
    <t>Оснащение сенсорной комнаты, кабинета ЛФК, приобретение реабилитационного оборудования.</t>
  </si>
  <si>
    <t>Создание экспериментальной квартиры для  "молодых инвалидов" с целью организации сопровождаемого проживания и закрепления навыков самостоятельной жизни.</t>
  </si>
  <si>
    <t>Обеспечение возможности для малообеспеченных семей, инвалидов осуществления своевременной стирки одежды, постельных принадлежностей, другого домашнего текстиля. Приобретение: стирально-сушильная машина (2 шт.), гладильный каток (1 шт.), гладильная доска (2 шт.), стеллаж металлический (2 шт.), тележка для белья (2 шт.), вешало (2 шт.), напольный отпариватель для одежды (1 шт.),  утюг (1 шт.).</t>
  </si>
  <si>
    <t>Создание основного центра обработки данных. Проектирование, строительство, оснащение оборудованием и программным обеспечением, запуск в промышленную эксплуатацию, предоставление информационных мощностей ЦОД муниципальным учреждениям.</t>
  </si>
  <si>
    <t>Создание резервного центра обработки данных в районе Кайеркан. Проектирование, строительство, оснащение оборудованием и программным обеспечением, запуск в промышленную эксплуатацию, предоставление информационных мощностей ЦОД муниципальным учреждениям.</t>
  </si>
  <si>
    <t>2.1.1.6</t>
  </si>
  <si>
    <t>Централизованный доступ к единой АТС и системе корпоративной почты.</t>
  </si>
  <si>
    <t>Переход на использование отечественного программного обеспечения. Приобретение ПО, настройка и внедрение.</t>
  </si>
  <si>
    <t>Переход на использование отечественного оборудования. Приобретение оборудования, настройка и внедрение.</t>
  </si>
  <si>
    <t>Приобретение аппаратно-программных комплексов, аппаратного и программного обеспечения, проведение организационно-технических мероприятий по ТЗИ.</t>
  </si>
  <si>
    <t>Подключение муниципальных учреждений муниципального образования город Норильск к системе электронного документооборота Администрации города Норильска. Приобретение программного обеспечения и клиентских лицензий доступа к системе электронного документооборота Администрации города Норильска, подключение клиентов.</t>
  </si>
  <si>
    <t>Создание юридически значимого электронного документооборота. Приобретение и настройка программного обеспечения, подключение клиентов.</t>
  </si>
  <si>
    <t>Создание межведомственного электронного взаимодействия муниципальных учреждений. Настройка программного обеспечения и организация межведомственного электронного взаимодействия, подключение клиентов.</t>
  </si>
  <si>
    <t>В результате реконструкции аэропорта будет обеспечена безопасная эксплуатация аэропорта и воздушных судов, безопасность и комфорт для пассажиров. После выполнения всех запланированных работ техническое состояние аэропорта будет соответствовать нормативному, аэропорт сможет принимать самолеты при сильном боковом ветре, тогда как сейчас такой возможности нет. Реконструкция аэропортового комплекса и объектов аэродромной инфраструктуры будет включать в себя реконструкцию взлетно-посадочной полосы, рулежных дорожек, перрона, водосточно-дренажной системы, замену светосигнального оборудования, строительство (реконструкция) аварийно-спасательной станции.</t>
  </si>
  <si>
    <t>За счет средств федерального бюджета - реконструкция рулежных дорожек, перрона и мест стоянки воздушных судов, строительство площадки для обработки воздушных судов противообледенительной жидкостью, обустройство освещения, строительство водосточно-дренажной системы, реконструкция объектов электроснабжения аэродрома;
за счет внебюджетных источников финансирования - разработка проектной документации, строительство нового топливо-заправочного комплекса, газопровода и котельной, резервного топливохранилища к котельной, реконструкция цеха бортового питания, внедрение систем обеспечения транспортной безопасности на основе системы тепловизионного наблюдения, реконструкция здания аварийно-спасательной службы, реконструкция трансформаторных подстанций, реконструкция грузового коммерческого комплекса, строительство гаража для крупногабаритной аэродромной техники.</t>
  </si>
  <si>
    <t xml:space="preserve">Оказание содействия по строительству широтной технологической железнодорожной магистрали в рамках полномочий органа местного самоуправления (передача под данные цели земельных участков, предоставлении информации по запросам ответственных исполнителей по реализации проекта и др.). В результате строительства железной дороги наладится стабильное транспортное сообщение с г. Норильском, будет обеспечена стабильная доставка грузов и продукции (вне зависимости от сезона и периода навигации), организованы пассажирские перевозки.      </t>
  </si>
  <si>
    <t>Приобретение автобусов для работы по муниципальным маршрутам с учетом необходимости списания техники имеющей 100% амортизационный износ.</t>
  </si>
  <si>
    <t>Проведение конкурсных процедур по приобретению автобусов с дальнейшей передачей в оперативное управление муниципальному транспортному предприятию.</t>
  </si>
  <si>
    <t>В результате строительства автомобильной дороги улицы будут разгружены от транспортного потока и обеспечена безопасность дорожного движения на данном участке дороги.
Мощность объекта: 0,8 км.</t>
  </si>
  <si>
    <t>Работы по ремонту земляного полотна, проезжей части, искусственных сооружений, с устройством временных объездов,  обустройству автомобильной дороги, ремонту автобусных остановок, установке знаков и нанесение разметки на участке дороги Норильск-Талнах.</t>
  </si>
  <si>
    <t>Устройство светофорных объектов на аварийно-опасных участках дороги, установка дорожных знаков, дорожных зеркал, разработка проекта организации дорожного движения.</t>
  </si>
  <si>
    <t>2.3.1.14</t>
  </si>
  <si>
    <t>Выполнение комплекса работ для нормализации состояния несущих конструкций фундаментов и обеспечения несущей способности грунтов в основании многоквартирных домов.</t>
  </si>
  <si>
    <t>Выполнение мероприятий по приведению к нормам эксплуатации квартир и общедомового имущества в выселенных подъездах.</t>
  </si>
  <si>
    <t>Оказание содействия Региональному фонду капитального ремонта многоквартирных домов на территории Красноярского края в реализации мероприятий Региональной программы.</t>
  </si>
  <si>
    <t>Выполнение работ по ремонту общего имущества многоквартирных домов.</t>
  </si>
  <si>
    <t>Выполнение запланированного количества ремонтируемых квартир.</t>
  </si>
  <si>
    <t xml:space="preserve">Инженерно-геологические изыскания территории для строительства
Разработка и оформление проектно-сметной документации на строительство.
</t>
  </si>
  <si>
    <t>Административно-бытовое здание МКУ «Служба спасения» модульного исполнения, (помещения АСОЭР с гаражом на 5 автомобилей, Техотдел, отдел МТС) общая площадь- 2000м2.</t>
  </si>
  <si>
    <t>Комплекс зданий гаражей с коммуникационными сооружениями и благоустройством территории.</t>
  </si>
  <si>
    <t>Выплата возмещения за изымаемое жилое помещение, с учетом доли в праве общей собственности на такое имущество, а также убытков, причиненных собственникам аварийного жилого помещения его изъятием.</t>
  </si>
  <si>
    <t>Компенсация гражданам расходов, связанных с выполнением работ по улучшению технических характеристик предоставляемых жилых помещений по договорам социального найма и договорам найма служебных помещений муниципального жилищного фонда муниципального образования город Норильск.</t>
  </si>
  <si>
    <t>Выполнение работ по демонтажу выселенных аварийных многоквартирных домов.</t>
  </si>
  <si>
    <t>Направление - водоснабжение. Реконструкция сетей, подлежащих замене в связи с исчерпанием эксплуатационного ресурса.</t>
  </si>
  <si>
    <t>В результате реконструкции очистных сооружений будет обеспечено санитарно-эпидемиологическое благополучие населения и предотвращены экологические риски на территории муниципального образования город Норильск, достигнуты показатели очищенных сточных вод до нормативов допустимого сброса в соответствии с законодательством.
Центральный район, ул. Вокзальная, 9А. Мощность объекта: 60 000 м3/сутки.
2019 - проектно-изыскательские работы,
Сроки реконструкции будут определены после получения проекта.</t>
  </si>
  <si>
    <t>В результате строительства очистных сооружений будет обеспечено санитарно-эпидемиологическое благополучие населения и предотвращены экологические риски на территории поселка Снежногорск, достигнуты показатели очищенных сточных вод до нормативов допустимого сброса в соответствии с законодательством.
Мощность объекта: из расчета численности населения 1000 человек, производительностью 1000 м3/сутки.
Проект прошел государственную экспертизу в 2018 году. Сроки строительства будут определены после решения вопроса финансирования.</t>
  </si>
  <si>
    <t>С целью улучшения санитарной и эпидемиологической обстановки в поселке Снежногорск будет построен и введен в эксплуатацию полигон, где появится возможность складирования твердых коммунальных отходов (ТКО). 
Мощность объекта: 50 тыс. куб. м. 
Сроки строительства полигона не определены до решения вопроса по земле и дальнейшего проектирования.</t>
  </si>
  <si>
    <t>В результате строительства предприятия по термическому обезвреживанию отходов будет обеспечено санитарно-эпидемиологическое благополучие населения и предотвращены экологические риски на территории поселка Снежногорск.
Мощность объекта: 250 т/год.</t>
  </si>
  <si>
    <t>Ремонт коллекторного хозяйства.</t>
  </si>
  <si>
    <t>Установка теплообменных аппаратов для подогрева воды на нужды горячего водоснабжения муниципальных объектов и многоквартирных жилых домов МО г. Норильск.</t>
  </si>
  <si>
    <t>Анализ работ известных российских и международных стрит-арт художников. В городской среде Норильска созданы новые арт-объекты, демонстрирующие современные подходы к благоустройству городской среды. В процесс развития городской среды Норильска планируется вовлечь представителей местного профессионального сообщества и жителей города.</t>
  </si>
  <si>
    <t>Обсуждение городских задач, лекций, основанных на запросе профессионального сообщества, мастерских как прикладного инструмента, демонстрирующего лучшие практики.</t>
  </si>
  <si>
    <t>В рамках мероприятия предусматривается проведение следующих работ:
- ремонтно-восстановительные работы;
- установка мачт освещения для возможности посещения комплекса в темное время суток;
- изготовление и установка точных копий бараков, в которых жили политические заключенные.</t>
  </si>
  <si>
    <t>Предоставление грантов в форме субсидий на конкурсной основе организациям, предоставляющим населению жилищные услуги, для реализации проектов по благоустройству в целях формирования благоприятных условий и комфортного пребывания граждан в городской среде.</t>
  </si>
  <si>
    <t xml:space="preserve"> Благоустройство дворовых территорий и общественных территорий путем повышение уровня вовлеченности заинтересованных граждан, организаций в реализацию мероприятий по благоустройству территории муниципального образования город Норильск. В 2019 году путем голосования граждан определены общественные территории для благоустройства:
- район Талнах, территория в районе ул. Маслова и ул. Бауманской;
- район Кайеркан, зона отдыха в районе домов 9 и 15 по ул. Победы.</t>
  </si>
  <si>
    <t>Создание благоустроенной общественной территории, включающей установку детской площадки с лестничным переходом, спортивной площадки и  беседки для отдыха.</t>
  </si>
  <si>
    <t>Создание мини-парка путем выполнения планировки территории, разбивки дорожек, укладки брусчатки, установки фонарей, памятной стеллы, малых архитектурных форм.</t>
  </si>
  <si>
    <t>Строительство установок по улавливанию богатых серой газов на Надежденском металлургическом заводе, производства серной кислоты с ее последующей нейтрализацией при помощи известняка с получением гипса, а также модернизация мощностей по улавливанию серы на медном заводе. Проект разработан российской инжиниринговой компанией и основывается на отечественном оборудовании и технологиях. Реализация проекта позволит сократить выбросы диоксида серы на 75 %.</t>
  </si>
  <si>
    <t>Проект направлен на сохранение и развитие производственного потенциала территории.</t>
  </si>
  <si>
    <t>Финансовая поддержка субъектов малого и среднего предпринимательства:
1. Предоставление субсидий субъектам малого и (или) среднего предпринимательства на возмещение части процентных платежей по кредитам (займам, микрозаймам) российских кредитных и микрофинансовых организаций и авансового лизингового платежа, уплачиваемого лизинговым компаниям, на приобретение оборудования в целях создания и (или) развития либо модернизации производства товаров (работ, услуг)
2. Предоставление субсидий вновь созданным субъектам предпринимательства на возмещение части расходов, связанных с приобретением и созданием основных средств и началом коммерческой деятельности
3. Возмещение части затрат по оплате работ (услуг), связанных с сертификацией, регистрацией или другими формами подтверждения соответствия товаров собственного производства, и затрат, связанных с выполнением обязательных требований законодательства Российской Федерации по их производству
4. Возмещение части затрат по участию в конкурсах профессионального мастерства и национальных премий, выставочно-ярмарочных мероприятиях на территории Российской Федерации
5. Предоставление субсидий субъектам предпринимательства на возмещение части затрат на приобретение, доставку, сборку (установку) специальной техники, перерабатывающего (обрабатывающего) оборудования, агрегатов и комплексов, в целях создания и (или) развития, и (или) модернизации производства товаров народного потребления
6. Предоставление субсидий на возмещение части затрат по обучению (подготовке, переподготовке, повышению квалификации, включая дистанционный формат обучения) учредителей субъектов предпринимательства, субъектов предпринимательства и их работников (сотрудников).</t>
  </si>
  <si>
    <t>Оказание информационной и консультационной поддержки субъектам малого и среднего предпринимательства, а также гражданам по вопросам организации бизнеса:
1. Издание информационной газеты «Деловой Норильск» и иных информационно-справочных, методических и презентационных материалов, посвященных вопросам предпринимательской деятельности
2. Оказание информационной поддержки и консультационных услуг гражданам, субъектам предпринимательской деятельности по вопросам, связанным с развитием предпринимательского сектора в сфере потребительского рынка.</t>
  </si>
  <si>
    <t>Поддержка в области повышения квалификации работников субъектов малого и среднего предпринимательства:
1. Проведение городских семинаров для субъектов малого и среднего предпринимательства по вопросам ведения предпринимательской деятельности и актуальным вопросам в сфере малого и среднего предпринимательства
2. Организация обучения граждан и субъектов малого и среднего предпринимательства на курсах по вопросам организации предпринимательской деятельности.</t>
  </si>
  <si>
    <t>Обеспечение деятельности организаций, образующих инфраструктуру поддержки субъектов малого и среднего предпринимательства в форме оказания финансовой и имущественной поддержки (Некоммерческой организации "Норильский городской Фонд поддержки предпринимательства").</t>
  </si>
  <si>
    <t>Предоставление имущественной поддержки субъектам малого и среднего предпринимательства, а также организациям, образующим инфраструктуру поддержки субъектов малого и среднего предпринимательства.</t>
  </si>
  <si>
    <t>3.2.1.5</t>
  </si>
  <si>
    <t>Осуществление оперативного контроля целевых значений показателей качества предоставляемых структурных условий развития предпринимательства и потребительского рынка, тактическое управление снижением административных барьеров, анализ эффективности мероприятий по развитию малого и среднего предпринимательства:
-реестр промышленных площадок;
-реестр субъектов малого и среднего предпринимательства; 
-создание и ведение баз данных инвестиционных проектов.</t>
  </si>
  <si>
    <t>Бизнес-навигатор, созданный по принципу «одного окна», позволит рассчитать примерный бизнес-план, узнать о существующих мерах поддержки, подобрать недвижимость для бизнеса, разместить информацию о своем предприятии в едином реестре субъектов МСП.</t>
  </si>
  <si>
    <t>Реализация направлений благотворительной программы "Мир новых возможностей" ПАО "ГМК "Норильский никель": партнерство, инновации, развитие.</t>
  </si>
  <si>
    <t>Реализация программы корпоративного волонтерства "Комбинат добра": общекорпоративные благотворительные акции, "Клуб волонтера", реализация волонтерских проектов, программа личных пожертвований.</t>
  </si>
  <si>
    <t>Формирование и реализация эффективных механизмов внутрикорпоративных коммуникаций в подразделениях ЗФ и РОКС НН через работу с целевыми группами персонала (Развитие проектов "Университет мастера", "Академия наставников", "Движение молодых специалистов "Лидер" "Клуб "Профнавигатор").</t>
  </si>
  <si>
    <t>Развитие спортивно-оздоровительной работы и корпоративного спорта в подразделениях ЗФ и РОКС НН (В том числе проведение соревнований на муниципальных площадках города Норильска).</t>
  </si>
  <si>
    <t>3.2.5.3</t>
  </si>
  <si>
    <t>3.2.5.9</t>
  </si>
  <si>
    <t>3.2.5.15</t>
  </si>
  <si>
    <t>3.2.5.16</t>
  </si>
  <si>
    <t>3.2.2.21</t>
  </si>
  <si>
    <t>3.2.2.22</t>
  </si>
  <si>
    <t>3.2.2.23</t>
  </si>
  <si>
    <t>3.2.5.30</t>
  </si>
  <si>
    <t>3.2.5.31</t>
  </si>
  <si>
    <t>3.2.5.32</t>
  </si>
  <si>
    <t>Создание МАУ "Центр развития туризма" в городе Норильске.</t>
  </si>
  <si>
    <t>Упорядочивание туристско-рекреационного использования природных ландшафтов Норило-Пясинской системы озер в интересах охраны природы и максимального удовлетворения культурных и рекреационных потребностей населения. Создание условий для инвестиций в туристско-рекреационную инфраструктуру.</t>
  </si>
  <si>
    <t>Планируется разработать не менее 2 брендовых туров на территории г. Норильска и ТДНМР. Заключить договоры о продажах брендовых туров с ведущими агентствами страны, организовать их продвижение.</t>
  </si>
  <si>
    <t>Получение информации для формирования брендовых маршрутов. Изготовление не менее 2 презентационных роликов о брендовых маршрутах Таймыра.</t>
  </si>
  <si>
    <t>Внедрение культурного бренда, способствующего сохранению и возрождению культурного наследия, экологическому просвещению и развитию внутреннего туризма на территории муниципального образования город Норильск.</t>
  </si>
  <si>
    <t>Проведение городского, массового праздника, направленного на сохранение традиционной культуры коренных народов Таймыра.</t>
  </si>
  <si>
    <t>Мероприятия для продвижения местных производителей и рестораторов. Мероприятия по обеспечению поддержки малого и среднего бизнеса. Обмен опытом рестораторов, повышение уровня профессионального мастерства поваров.</t>
  </si>
  <si>
    <t>Организация и проведение туристического слета, включающего размещение палаточного городка, проведение ряда соревнований между командами-участниками, культурно-массовое экологнчное пребывание туристов в созданном пространстве, получение навыков туристического отдыха.</t>
  </si>
  <si>
    <t>Предусмотрено участие специалистов УДКиИ в различных конкурсах в области событийного туризма и в международных туристических выставках.</t>
  </si>
  <si>
    <t>Необходимо разрабатывать и популяризировать туристические маршруты среди потенциальных потребителей туристских услуг на территории и за ее пределами.</t>
  </si>
  <si>
    <t>Выявление предпочтительных направлений внутреннего туризма, определение популярности достопримечательностей территории и событийных мероприятий среди жителей города Норильска (предусматривается разработка и проведение опросов населения).</t>
  </si>
  <si>
    <t>Формирование положительного имиджа территории через рекламно-информационную деятельность.</t>
  </si>
  <si>
    <t>С целью повышения информированности потенциальных туристов о туристско-рекреационных возможностях, событиях и туристических продуктах Норильска предусмотрено размещение информации в различных каталогах.</t>
  </si>
  <si>
    <t>На официальном сайте города создан раздел «туризм», где размещена информация о достопримечательностях и объектах туристского притяжения, унифицированный туристский паспорт муниципального образования город Норильск. Раздел подлежит своевременной актуализации.</t>
  </si>
  <si>
    <t>В разделе «туризм» на официальном сайте города размещен унифицированный туристский паспорт города, который подлежит ежегодной актуализации в целях популяризации Норильска как туристической территории.</t>
  </si>
  <si>
    <t>Мероприятие направлено на объединение усилий и ресурсов всех заинтересованных организаций и сообществ для успешной реализации программы развития туризма.</t>
  </si>
  <si>
    <t>Мероприятие направлено на повышение эффективности взаимодействия между Норильском и ТДНМР в области развития туризма и разработки межмуниципального плана по развитию туризма.</t>
  </si>
  <si>
    <t>1. Разработка, маркировка маршрутов, создание приютов и промежуточных баз. Сезонное обслуживание маршрутов.</t>
  </si>
  <si>
    <t>2. Патрулирование, осмотр маршрутов, мониторинг метеоусловий.</t>
  </si>
  <si>
    <t>2. Создание (формирование) контрольных баз выпуска групп на маршруты.</t>
  </si>
  <si>
    <t>Увеличение штата  спасателей, приобретение всесезонной техники, необходимого снаряжения.</t>
  </si>
  <si>
    <t>1.5.3.5</t>
  </si>
  <si>
    <t>Получение дополнительных компетенций (знаний, умений, навыков, личностных качеств), необходимых для присвоения новой квалификации, углубление и усовершенствование уже имеющихся профессиональных знаний и навыков, необходимых для более качественного выполнения должностных обязанностей специалистов Управления.</t>
  </si>
  <si>
    <t>Обучение на курсах профессиональной переподготовки и курсах повышения квалификации</t>
  </si>
  <si>
    <t>МУ "Управление общего и дошкольного образования Администрации города Норильска"</t>
  </si>
  <si>
    <t>Доля работников прошедших профессиональную переподготовку и (или) обучившихся на курсах повышения  квалификации от общего количества работников Управления</t>
  </si>
  <si>
    <t>Приобретение опыта работы по специальности, в течение определенного испытательного срока, для определения зачисления на штатную должность.</t>
  </si>
  <si>
    <t>Стажировка в УОиДО выпускников и студентов старших курсов профильных ВУЗ</t>
  </si>
  <si>
    <t>1.6.4.6</t>
  </si>
  <si>
    <t>ИП Мамукаева Л.Н.</t>
  </si>
  <si>
    <t>Строительство тепличного комплекса для круглогодичного производства овощей (огурец, томат, зелень) с целью обеспечения продовольственной безопасности региона и предоставления жителям возможности приобретать качественные овощи по доступным ценам.
Количество создаваемых рабочих мест - 70 ед.</t>
  </si>
  <si>
    <t>Доля общедоступных библиотек, подключенных к сети Интернет, в общем количестве общедоступных библиотек</t>
  </si>
  <si>
    <t>Среднее число выставок в расчете на 10 тыс. человек населения</t>
  </si>
  <si>
    <t xml:space="preserve">Пропускная способность канала волоконно-оптической линии связи </t>
  </si>
  <si>
    <t>Гб/с</t>
  </si>
  <si>
    <t xml:space="preserve">
24,17
1,66
100</t>
  </si>
  <si>
    <t>2017-2022</t>
  </si>
  <si>
    <t>0,0
/3 000,0</t>
  </si>
  <si>
    <t>Количество выпускников / студентов, прошедших стажировку и определенных для зачисления на штатную должность</t>
  </si>
  <si>
    <t>1.6.4.7</t>
  </si>
  <si>
    <t>Целевое обучение граждан, обучающихся по образовательной программе среднего профессионального или высшего образования.</t>
  </si>
  <si>
    <t>Подготовка медицинских кадров для государственных учреждений здравоохранения, расположенных на территории города Норильска</t>
  </si>
  <si>
    <t>Территориальный отдел в городе Норильске министерства здравоохранения Красноярского края</t>
  </si>
  <si>
    <t>Количество прошедших целевое обучение граждан 
(при наличии выделения территории квот на обучение)</t>
  </si>
  <si>
    <t>не менее чел.</t>
  </si>
  <si>
    <t>20 240,6   
/ 417 303,6</t>
  </si>
  <si>
    <t>20 240,6      
/ 626 146,6</t>
  </si>
  <si>
    <t>20 240,6 
/ 692 496,8</t>
  </si>
  <si>
    <t>60 721,8 
/ 1 735 947,0</t>
  </si>
  <si>
    <t>282 368,8 
/ 9 341 089,8</t>
  </si>
  <si>
    <t>Проведены проектные работы на реконструкцию здания</t>
  </si>
  <si>
    <t>Введен в эксплуатацию магазин спецтехники</t>
  </si>
  <si>
    <t>Введен в эксплуатацию магазин с детской развлекательной зоной</t>
  </si>
  <si>
    <t>Введен в эксплуатацию торговый центр</t>
  </si>
  <si>
    <t>Строительство быстровозводимой крытой спортивной площадки.</t>
  </si>
  <si>
    <t>Планируемый к строительству региональный объект в области физической культуры и спорта (в соответствии с схемой территориального планирования Красноярского края)</t>
  </si>
  <si>
    <t>2016-2021</t>
  </si>
  <si>
    <t>2016-2024</t>
  </si>
  <si>
    <t>2019-2027</t>
  </si>
  <si>
    <t>Восстановление и развитие картинга как актуального для детей и молодежи направления технического творчества</t>
  </si>
  <si>
    <r>
      <t xml:space="preserve">Строительство базы отдыха с организованными услугами для все стороннего оздоровительного (спортивного) развития на природе.
</t>
    </r>
    <r>
      <rPr>
        <sz val="19"/>
        <rFont val="Times New Roman"/>
        <family val="1"/>
        <charset val="204"/>
      </rPr>
      <t>Организация стендовой стрельбы, прокат квадроциклов и снегоходов, событийная деятельность жителей.</t>
    </r>
  </si>
  <si>
    <t>С созданием филиала будет отсутствовать необходимость отправлять специалистов (около 50 человек в год) на подготовку в г. Красноярск, что позволит сократить финансовые затраты на перелет, проживание и подготовку специалистов</t>
  </si>
  <si>
    <t>Справка о дополнительной потребности в финансировании</t>
  </si>
  <si>
    <t xml:space="preserve">Мероприятие </t>
  </si>
  <si>
    <t>Срок</t>
  </si>
  <si>
    <t>Содействие в создании системы навигации, обеспечивающей благоприятную гостеприимную среду в целях увеличения времени пребывания и уровня комфорта находящихся на территории туристов. Внедрение QR-кодов. Изготовление полиграфической продукции о Таймыре. Разработка схемы установки информационных знаков системы навигации в сфере туризма.</t>
  </si>
  <si>
    <t xml:space="preserve">Отбор не менее 2 проектов для совместной реализации в сфере развития туризма. Разработка инвестиционных проектов. Привлечение инвестиций. </t>
  </si>
  <si>
    <t>Строительство базы отдыха с организованными услугами для все стороннего оздоровительного (спортивного) развития на природе.
Организация базы отдыха с услугами для всестороннего оздоровительного (спортивного) развития на природе. Организация стендовой стрельбы, прокат квадроциклов и снегоходов, событийная деятельность жителей.</t>
  </si>
  <si>
    <t>3.2.5.21</t>
  </si>
  <si>
    <t>3.2.5.22</t>
  </si>
  <si>
    <t>3.2.5.23</t>
  </si>
  <si>
    <t>3.2.5.24</t>
  </si>
  <si>
    <t>3.2.5.26</t>
  </si>
  <si>
    <t>3.2.5.27</t>
  </si>
  <si>
    <t>3.2.5.29</t>
  </si>
  <si>
    <t>3.2.5.28</t>
  </si>
  <si>
    <t>0</t>
  </si>
  <si>
    <t>Объем средств по мероприятиям, источники финансирования которых
 будут уточнятся в процессе реализации Стратегии 2030, тыс. руб.</t>
  </si>
  <si>
    <t>Инженерно-геологические изыскания территории для строительства
Разработка и оформление проектно-сметной документации на строительство.</t>
  </si>
  <si>
    <t>Приложение к постановлению</t>
  </si>
  <si>
    <t>Администрации города Норильска</t>
  </si>
  <si>
    <t>от "_____"_______2019 №__________</t>
  </si>
  <si>
    <t>2020 ПЛАН</t>
  </si>
  <si>
    <t>2020 ФАКТ</t>
  </si>
  <si>
    <t>-
561</t>
  </si>
  <si>
    <t>н/д</t>
  </si>
  <si>
    <t>Мониторинг Плана мероприятий по реализации Стратегии социально-экономического развития муниципального образования город Норильск до 2030 года</t>
  </si>
  <si>
    <t>217 мест</t>
  </si>
  <si>
    <t>УДКиИ
МБУ ДО "НДХШ"</t>
  </si>
  <si>
    <t xml:space="preserve">Общая площадь жилого фонда, приходящаяся в среднем на 1 жителя
</t>
  </si>
  <si>
    <t>Ввод в действие жилых домов на 1 жителя</t>
  </si>
  <si>
    <t>кв. м/чел.</t>
  </si>
  <si>
    <t>нет</t>
  </si>
  <si>
    <t xml:space="preserve">да </t>
  </si>
  <si>
    <t>ежегодно с 2022</t>
  </si>
  <si>
    <t>3.2.5.25</t>
  </si>
  <si>
    <t>Создание мини-парка путем выполнения планировки территории, разбивки дорожек, укладки брусчатки, установки фонарей, памятной стелы, малых архитектурных форм.</t>
  </si>
  <si>
    <t>Создание и размещение рекламных баннеров о достопримечательностях Норильска повысит интерес со стороны гостей г. Дудинка, приехавших посетить в том числе международные мероприятия (турнир по керлингу или туристов, приехавших в этно-деревню). Размещение билбордов в вдоль автодороги Норильск-Алыкель, в аэропорту Алыкель и в г. Дудинка.</t>
  </si>
  <si>
    <t>тыс. тонн условного топлива (т.у.т.)</t>
  </si>
  <si>
    <t>Результаты мониторинга</t>
  </si>
  <si>
    <t>2021 ПЛАН</t>
  </si>
  <si>
    <t>2021 ФАКТ</t>
  </si>
  <si>
    <t>Исполнитель:____________________________</t>
  </si>
  <si>
    <t>Контактный телефон: _____________________</t>
  </si>
  <si>
    <t>Не достижение показателя обусловлено:
- увеличением количества на 26 ед. групп для детей с особыми образовательными потребностями (дети ОВЗ, дети-инвалиды), наполняемость которых на 20% меньше плановой наполняемости;
- задержкой ввода в эксплуатацию 2-го здания «Детский сад № 1», ремонтом «Детский сад № 71»</t>
  </si>
  <si>
    <t>В сентябре 2020 года после завершения реконструкции в эксплуатацию ввели 2 корпус МБДОУ «Детский сад № 86 «Брусничка» на 217 мест</t>
  </si>
  <si>
    <t>Реализация проекта приостановлена, в связи с принятием решения о функциональности объекта</t>
  </si>
  <si>
    <t>В 2020 году проект прошел государственную экспертизу. На объекте проводятся инженерно-изыскательские работы</t>
  </si>
  <si>
    <t>Все 37 общеобразовательных учреждений города Норильска оборудованы школьным пространством для внеурочной деятельности, дополнительных занятий, групп продленного дня  и др. (игры, режим работы и т.д.)</t>
  </si>
  <si>
    <t>Ежегодно все образовательные учреждения регулярно осуществляют закупку компьютерной и оргтехники, лицензионного программного обеспечения. Число персональных компьютеров, используемых в учебных целях, в расчете на 100 обучающихся в 2020 году составило 11. По состоянию на 31.12.2020 обеспеченность учреждений современной техникой составила 100,0%</t>
  </si>
  <si>
    <t xml:space="preserve">Укомплектовано 30 образовательных учреждений из 37 </t>
  </si>
  <si>
    <t>Все образовательные учреждения имеют сайт, через который осуществляется информирование всех категорий потребителей услуг школы</t>
  </si>
  <si>
    <t>На территории города 36 общеобразовательных учреждений из 37 имеют электронные дневники и журналы</t>
  </si>
  <si>
    <t>Все школы города используют ресурс портала "Российская электронная школа"</t>
  </si>
  <si>
    <t>Консультации по цифровой платформе "Единый урок" - 231 (общее количество 2 301)</t>
  </si>
  <si>
    <t>1 460 обучающихся из 13 822 школьников 5-11 классов приняли участие в онлайн мероприятиях информационно-образовательной направленности</t>
  </si>
  <si>
    <t>План не выполнен в связи с отменой 2 выездных конкурсов и санаторно-оздоровительного отдыха в связи с эпидемиологической обстановкой в стране</t>
  </si>
  <si>
    <t>Активизация профориентационной деятельности</t>
  </si>
  <si>
    <t>Не приняли участие 5 МБОУ</t>
  </si>
  <si>
    <t xml:space="preserve">Не достижение показателя обусловлено введением ограничительных мер, связанных с распространением коронавирусной инфекции
</t>
  </si>
  <si>
    <t>Мероприятие не проводится с 2019 года</t>
  </si>
  <si>
    <t>За 2020 год в рамках благотворительной программы «Мир новых возможностей» ЗФ ПАО «ГМК «Норильский никель» 8 общеобразовательных учреждений  получили гранты в конкурсе социальных проектов.
Не достижение планового значения обусловлено введением ограничений, связанных с распространением коронавирусной инфекции</t>
  </si>
  <si>
    <t>Мероприятие не реализовано в связи с неблагоприятной санитарно-эпидемиологической обстановкой</t>
  </si>
  <si>
    <t>Мероприятие не реализовано в полном объеме в связи с неблагоприятной санитарно-эпидемиологической обстановкой</t>
  </si>
  <si>
    <t>Всего за 2020 год к профессиональному обучению и дополнительному профессиональному образованию приступило 283 чел., из них: 248 безработных граждан; 17 женщин, находящихся в отпуске по уходу за ребенком до достижения им возраста трех лет; 18 незанятых граждан, которым в соответствии с законодательством РФ назначена трудовая пенсия по старости и которые стремятся возобновить трудовую деятельность</t>
  </si>
  <si>
    <t>В 2020 году выдано 29 образовательных сертификатов пенсионерам и гражданам предпенсионного возраста</t>
  </si>
  <si>
    <t>В соответствии с разработанной Дорожной картой проведены три модуля, запланированные тремя этапами мероприятий 2020 года</t>
  </si>
  <si>
    <t>Повышение квалификации не проводилось</t>
  </si>
  <si>
    <t>Плановый показатель недовыполнен, в связи с недостаточным поступлением краеведческой литературы, подлежащей оцифровке</t>
  </si>
  <si>
    <t>В связи с санитарно-эпидемиологической обстановкой учреждения для посетителей в период с 19 марта по 12 августа 2020 года были закрыты, что повлияло на не достижение планового показателя</t>
  </si>
  <si>
    <t>Показатели выполнены не в полном объеме по причине повышения цен на издания
(при прежнем объеме финансирования)</t>
  </si>
  <si>
    <t>Проект в стадии проработки.
Показатель по действующим учреждениям выполнен не в полном объеме в связи с санитарно-эпидемиологической обстановкой</t>
  </si>
  <si>
    <t>В 2020 году количество посетителей платных мероприятий (без посетителей киносеансов) составило 25 059 посещений, что на 300 584 посещений меньше, чем за 2019 год. Причиной уменьшения является эпидемиологическая обстановка</t>
  </si>
  <si>
    <t>В связи с введением ограничительных мер, связанных с распространением новой коронавирусной инфекции, в 2020 году данные мероприятия не проводились</t>
  </si>
  <si>
    <t>Проект находится в стадии реализации</t>
  </si>
  <si>
    <t>В связи с санитарно-эпидемиологической обстановкой мероприятия не проводились</t>
  </si>
  <si>
    <t>В ЦБС в 2020 году реализован проект «Северный тревелог» (604,2 тыс. руб.), который был направлен на развитие литературного направления в PolArt-резиденции</t>
  </si>
  <si>
    <t>Успешное выступление спортсменов на выездных соревнованиях</t>
  </si>
  <si>
    <t>Услуги оказываются спортивными школами определенному количеству лиц, в установленном объеме, согласно утвержденных планов комплектования на спортивный сезон (перенаполнение групп в действующих спортивных школах невозможно). Вместе с тем, согласно статистическим данным выросла общая численность лиц в возрасте от 5 до 18 лет</t>
  </si>
  <si>
    <t>Перевыполнение индикатора обусловлено реализацией соглашения в рамках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(Красноярский край)"</t>
  </si>
  <si>
    <t>Перевыполнение за счет активного привлечения населения к выполнению нормативов испытаний (тестов) комплекса ГТО</t>
  </si>
  <si>
    <t>Незначительная отрицательная динамика в связи с введением ограничительных мер, связанных с распространением коронавирусной инфекции</t>
  </si>
  <si>
    <t xml:space="preserve">ФОК «Айка» открыт в декабре 2020 года.
В соответствии с приказом Минспорта РФ от 21.03.2018 № 244 в силу вступили новые методические рекомендации, в рамках которых не установлена нормативная потребность обеспеченности населения спортивными залами, а предусмотрена «Обеспеченность населения спортивными сооружениями (в целом) исходя из единовременной пропускной способности», которая в 2020 году составила 28%.
Превышение показателя "Численность штатных работников физической культуры и спорта" над прогнозным связано с открытием ФОК «Айка» и представлением сведений от иных частных организаций, оказывающих услуги в отрасли «Физическая культура и спорт» </t>
  </si>
  <si>
    <t>Перевыполнение плана связано с большим количеством поддержанных молодежных проектов в рамках мероприятия «Территория 2020» за счет средств краевой субсидии</t>
  </si>
  <si>
    <t>Перевыполнение плана связано с увеличением количества мероприятий, проведенным в формате онлайн с учетом эпидемиологической обстановки в 2020 году</t>
  </si>
  <si>
    <t>Перевыполнение плана вследствие большого количества краевых акций, повышения интереса молодежи к добровольческой, волонтерской и патриотической деятельности, а также за счет увеличения количества мероприятий, проведенных в формате онлайн</t>
  </si>
  <si>
    <t>Индикатор не выполнен, что обусловлено введением ограничительных мер, связанных с распространением коронавирусной инфекции</t>
  </si>
  <si>
    <t>Плановый показатель не достигнут, что обусловлено введением ограничительных мер, связанных с распространением коронавирусной инфекции</t>
  </si>
  <si>
    <t>Трудовые отряды в 2020 году не формировались, что обусловлено введением ограничительных мер, связанных с распространением коронавирусной инфекции</t>
  </si>
  <si>
    <t xml:space="preserve">Уменьшение количества связано с отменой ряда спортивных мероприятий в период ограничительных мер вызванными распространением коронавирусной инфекцией. </t>
  </si>
  <si>
    <t>Проект находится в стадии проработки</t>
  </si>
  <si>
    <t>Проект не актуален</t>
  </si>
  <si>
    <t>Полномочия по переводу услуг в электронный вид переданы на уровень субъекта РФ</t>
  </si>
  <si>
    <t>Работы по переведу услуг в эл. вид выполнялись в 2018 году, в 2019-2020 году работы не велись</t>
  </si>
  <si>
    <t>Мероприятие реализовано не в полном объеме в связи с неблагоприятной санитарно-эпидемиологической обстановкой</t>
  </si>
  <si>
    <t>Участником программы в 2020 году являлся ООО "Юнирон". Численность работников, принятых в организацию в рамках региональной программы - 1 чел.
В настоящее время осуществляется работа по формированию резерва работодателей для участия в региональной программе на 2022 год</t>
  </si>
  <si>
    <t>Скорректированный план на 2020 год по муниципальной программе "Приглашение специалистов…" составил 44 специалиста. Всего за 2020 год оформлено 47 приглашений, по которым 4 человек отказались. В 2020 году прибыло 33 специалиста, из них в 2020 году трудоустроилось 32 чел.  (1 человек трудоустроен в начале 2021 года). Еще 10 специалистов прибыли и трудоустроены в начале 2021 года</t>
  </si>
  <si>
    <t>В связи с увеличением норматива стоимости 1 кв. м общей площади жилого помещения по Российской Федерации, применяемого для расчета размера социальной выплаты, уменьшилось количество граждан, получивших социальную выплату в 2020 году</t>
  </si>
  <si>
    <t>При отсутствии плановых показателе за 2020 год в рамках сотрудничества с КГКУ «ЦЗН» г. Норильска, с целью повышения эффективности профориентационной работы на территории реализовывались следующие мероприятия:
−  в марте 2020 года во всех общеобразовательных учреждениях проведено 510 разнообразных профориентационных мероприятий;
− деятельность 35 волонтерских отрядов краевого добровольческого профориентационного движения «Твои горизонты»</t>
  </si>
  <si>
    <t>Стратегия развития профессиональной ориентации населения в Красноярском крае до 2030 года утверждена распоряжением Правительства Красноярского края от 05.03.2021 № 127-р</t>
  </si>
  <si>
    <t>По итогам 2020 года с целью поиска подходящей работы зарегистрировано 98 выпускников образовательных организаций, трудоустроено - 75 чел.</t>
  </si>
  <si>
    <t>- в Сибирский государственный медицинский университет (г. Томск);
- в Красноярский государственный медицинский университет имени профессора В. Ф. Войно-Ясене́цкого</t>
  </si>
  <si>
    <t>В связи с неблагоприятной санитарно-эпидемиологической обстановкой данное мероприятие не проводилось</t>
  </si>
  <si>
    <t>Министерством строительства Красноярского края в сводный список молодых семей-претендентов на получение социальной выплаты в 2020 году включено 14 молодых семей, проживающих в городе Норильске. Управлением жилищного фонда вручены свидетельства о праве на получение социальной выплаты всем 14 молодым семьям</t>
  </si>
  <si>
    <t xml:space="preserve">На территории города пропускная способность ВОЛС составляет 40 Гбит/с. Технические характеристики проекта, в частности пропускная способность, позволяют обеспечить жителей Норильского промышленного района (НПР), а также населенных пунктов по маршруту прохождения трассы высокоскоростной связью. </t>
  </si>
  <si>
    <t>Создание в городе Норильске сегмента "Системы-112"относится к полномочиям Правительства Красноярского края, данная функция закреплена за КГКУ "Центр информационных технологий Красноярского края"</t>
  </si>
  <si>
    <t>С 2020 года в рамках МП "Защита населения и территории от ЧС" изменился показатель и методика его подсчета. 
За 2020 год количество вызовов, принятых операторами номера "112", составило 100%.
За отчетный период поступило всего 67 127 вызовов, из них: 
переадресовано - 25 774, вт.ч.:
 службе 101 – 1 452 сообщений;
 службе 102 – 9 373 сообщений;
 службе 103 – 11 277 сообщений;
 прочие (АСОЭР, ДДС, УЖКХ и др.) – 3 672 сообщений;
консультация абонента - 6 315; 
принято звонков помех - 35 035</t>
  </si>
  <si>
    <t>В связи с вводом запрета ввоза на территорию Российской Федерации товаров иностранного производства и отсутствия российских аналогов приобретение метеостанции невозможно. По результатам изучения технических характеристик и проведения оценки погодных условий на территории муниципального образования город Норильск установлено, что использование беспилотников невозможно</t>
  </si>
  <si>
    <t>Мероприятие в стадии реализации, в рамках МП "Защита населения и территории от ЧС" предусмотрено финансирование в 2021-2022 годах. В 2020 году финансирования на создание подсистем комплекса программно-технических средств оповещения МСО города Норильска (район Центральный, район Талнах) не выделялось</t>
  </si>
  <si>
    <t>За 2020 год произведена закупка ПО, однако его внедрение не производилось, в связи с введением ограничительных мер, связанных с распространением коронавирусной инфекции</t>
  </si>
  <si>
    <t>Нет данных</t>
  </si>
  <si>
    <t>Проект завершен в 2019 году</t>
  </si>
  <si>
    <t>За 2020 год приобретено 5 автобусов марки МАЗ-103</t>
  </si>
  <si>
    <t>За 2020 год автобусы марки МАЗ-206 не приобретались</t>
  </si>
  <si>
    <t>Ремонтные работы завершены в 100% объеме в 2019 году</t>
  </si>
  <si>
    <t>Фактическое значение в соответствии с данными статистической отчетности формы № 3-ДГ (мо) за 2020 год и в соответствии с проведенной подрядной организацией по муниципальному контракту диагностикой автомобильных дорог в 2020 году. Снижение показателя обусловлено введением ограничительных мер, связанных с распространением коронавирусной инфекции</t>
  </si>
  <si>
    <t>В рамках муниципальной программы "Реформирование и модернизация ЖКХ" в 2020 году было запланировано проведение работ по сохранению устойчивости 49 строений. Работы выполнены на всех объектах</t>
  </si>
  <si>
    <t>В рамках МП "Реформирование и модернизация ЖКХ" предусмотрены показатели выполненных работ по каждому виду ремонта общего имущества:
− доля фасадов МКД, находящихся в неудовлетворительном состоянии и ухудшающих внешний облик города, составила 14,3% в 2020 году (план 13,8%) выполнены работы объемом 63,8 тыс.кв.м из 81,3 тыс. кв.м. запланированных);
− доля МКД, на которых восстановлена кровля, находящаяся в крайне неудовлетворительном состоянии составила 93,3% (ремонт выполнен на 14 объектах из 15 запланированных);
− протяженность отремонтированных систем теплоснабжения и водоснабжения в 2020 году составила 4 526 м.п. (55,1% от плана 8 212 м.п.). Невыполнение плана обусловлено неполучением заключения о проверке прохождения сметной стоимости работ на одном из объектов (работы выполнены на 2 объектах).</t>
  </si>
  <si>
    <t>В рамках муниципальной программы "Реформирование и модернизация ЖКХ" в 2020 году было запланировано выполнение ремонта 265 квартир. По итогам года в 20 квартирах ремонт не выполнен в связи с неисполнением подрядными организациями работ в установленные сроки</t>
  </si>
  <si>
    <t>В рамках предусмотренных финансовых средств по муниципальной программе "Обеспечение жильем жителей" в 2020 году предоставлена выкупная цена за изымаемое жилое помещение 117 собственникам. Невыполнение планового показателя обусловлено увеличением средней стоимости кв.м для расчета выкупной цены за жилые помещения, подлежащие изъятию в связи с признанием их аварийными и непригодными для проживания</t>
  </si>
  <si>
    <t>В связи с введением мер, направленных на предупреждение новой коронавирусной инфекции, снизилось количество обращений граждан по вопросу компенсации расходов, связанных с выполнением работ по улучшению технических характеристик. Дополнительно гражданам, переселяемым из аварийных жилых помещений, предоставлялись жилые помещения по договорам социального найма, не требующие улучшения технических характеристик (после проведения в них капитального ремонта)</t>
  </si>
  <si>
    <t>Снесено 2 аварийных здания: ул. Комсомольская, 20, ул. Надеждинская, 18</t>
  </si>
  <si>
    <t>В 2020 году в результате проведения государственной экологической экспертизы проектной документации, экспертной комиссией Росприроднадзора установлено несоответствие материалов проектной документации экологическим требованиям, установленным законодательством Российской Федерации в области охраны окружающей среды.</t>
  </si>
  <si>
    <t>Проект прошел государственную экспертизу. На текущий момент  времени проект не реализуется ввиду отсутствия источников финансирования</t>
  </si>
  <si>
    <t>В период с 2021 года по 2022 год запланировано строительство новых очистных сооружений поселка Снежногорск</t>
  </si>
  <si>
    <t xml:space="preserve">Мастер-план города Норильска разработан в 2019 году специалистами Санкт-Петербургского института территориального планирования «Урбаника» </t>
  </si>
  <si>
    <t>В 2020 году завершилось восстановление мозаичного полотна «Олимпийцы» на торце дома по улице Комсомольской, д. 49Б</t>
  </si>
  <si>
    <t>Плановое значение целевого ориентира не было достигнуто в связи с частичной реализацией мероприятия в формате онлайн-вебинаров</t>
  </si>
  <si>
    <t xml:space="preserve">В ноябре 2019 года на территории города Норильска состоялась рабочая встреча Ассоциации мэров зимних городов, с делегатами из городов Японии, Канады, Китая, Финляндии, Южной Кореи, Монголии и России. </t>
  </si>
  <si>
    <t>Проект в стадии реализации. 
Здание жилого дома является объектом культурного наследия регионального значения. В целях сохранения, реставрации и приспособления объекта под современное использование разработан эскизный проект общественного пространства, который предусматривает перепланировку 1-7 этажей части помещений, расположенных в жилом доме.
В 2020 году заключен договор на выполнение инженерных изысканий, разработку проектной и рабочей документации проекта реконструкции, реставрации и приспособления под современное использование объекта культурного наследия регионального значения. Срок выполнения работ по договору до 30.06.2021.
Полностью выполнены работы по  инженерным изысканиям и обследованиям, на основании которых, ведется проектирование. Общая стоимость 27,9 млн. руб.</t>
  </si>
  <si>
    <t xml:space="preserve">Проект в стадии реализации.
В рамках выделенного финансирования в 2020 году выполнены: вертикальная планировка территории, вывоз и утилизация строительного мусора. </t>
  </si>
  <si>
    <t>Реализация проекта приостановлена, в связи с неблагоприятной эпидемиологической обстановкой</t>
  </si>
  <si>
    <t>Концепция проекта в стадии разработки</t>
  </si>
  <si>
    <t>Не актуально</t>
  </si>
  <si>
    <r>
      <t>В течение 2020 года на общественной территории в районе ул. Рудная, 35А района Талнах выполнены:
-планировка территории на площади;
-демонтаж существующего ограждения;
-устройство монолитного ж/б поребрика;
-устройство газонов;
-асфальтировка;
-обустройство 2 детских игровых площадок;
-МАФы - 10 скамеек и 10 урн.
Общая площадь благоустроенной территории – 4 500,0 м</t>
    </r>
    <r>
      <rPr>
        <vertAlign val="superscript"/>
        <sz val="19"/>
        <color theme="1"/>
        <rFont val="Times New Roman"/>
        <family val="1"/>
        <charset val="204"/>
      </rPr>
      <t>2</t>
    </r>
    <r>
      <rPr>
        <sz val="19"/>
        <color theme="1"/>
        <rFont val="Times New Roman"/>
        <family val="1"/>
        <charset val="204"/>
      </rPr>
      <t xml:space="preserve">. </t>
    </r>
  </si>
  <si>
    <t>На основании статистической формы 2-ТП (воздух) за 2020 год</t>
  </si>
  <si>
    <t>Реализация программных мероприятий осуществляется собственником водных объектов ФАВР Енисейским БВУ</t>
  </si>
  <si>
    <t>Увеличение количества получателей субсидии в 2020 году обусловлено выделением средств из бюджета Красноярского края для реализации мероприятий муниципальной программы по финансовой поддержке в сумме 1 800,0 тыс. руб.</t>
  </si>
  <si>
    <t>Курсы с участием приглашенного спикера из г. Красноярск изъявили желание посетить и посетили больше человек, чем планировалось</t>
  </si>
  <si>
    <t>Изменения связаны с уточненными статистическими данными численности населения 
г. Норильска</t>
  </si>
  <si>
    <t>На территории города Норильска с 28 марта 2020 года была приостановлена работа значительного количества организаций малого бизнеса и отменены культурно-массовые мероприятия, в соответствии с Указом Губернатора Красноярского края от 27.03.2020 № 71-уг "О дополнительных мерах, направленных на предупреждение распространения коронавирусной инфекции, вызванной 2019-nCoV, на территории Красноярского края"</t>
  </si>
  <si>
    <t>Согласно информации, полученной из Управления имущества, 2 субъекта малого  и среднего предпринимательства обратились для передачи им в пользование муниципального имущества и 2 субъекта получили данное право</t>
  </si>
  <si>
    <t>По итогам 2020 года 5 безработных граждан смогли реализовать свои бизнес-проекты в следующих сферах деятельности: маркетинговое агентство, ателье, студия рисования песком, 2 парикмахерские</t>
  </si>
  <si>
    <t>Проведены маркетинговые исследования по отраслям экономики Норильска, сформированы базы данных о муниципальном и коммерческом имуществе, информация загружена в геомаркетинговую информационную систему "Бизнес-навигатор". В системе зарегистрировано 
1 229 МСП (1 039 активные пользователи), 60 предпринимателей воспользовались базой типовых документов, сформировано 30 запросов на получение имущественной поддержки (15 МСП оказана имущественная поддержка), на портале опубликованы планы закупок норильских компаний</t>
  </si>
  <si>
    <t>За отчетный период проведено 8 тренингов, в которых приняли участие 250 субъектов МСП</t>
  </si>
  <si>
    <t>Проект реализован в формате сотрудничества с АНО "Консультационный ресурсный центр для некоммерческих организаций и социальных предпринимателей" (Деловая ферма)</t>
  </si>
  <si>
    <t>Проект введено в эксплуатацию 22.11.2019 № 24-RU24312000-48-2019</t>
  </si>
  <si>
    <r>
      <t xml:space="preserve">Проект не актуален, в связи с ликвидацией ООО "Заполярный тепличный комплекс" </t>
    </r>
    <r>
      <rPr>
        <sz val="19"/>
        <color rgb="FF000000"/>
        <rFont val="Arial"/>
        <family val="2"/>
        <charset val="204"/>
      </rPr>
      <t>30.04.2020</t>
    </r>
  </si>
  <si>
    <t>МАУ "Центр развития туризма" начал свою деятельность в январе 2020 года</t>
  </si>
  <si>
    <t xml:space="preserve">В соответствии с утвержденной схемой территориального планирования края туристско-рекреационный кластер «Арктический» внесен в перечень планируемых объектов регионального значения туристической инфраструктуры, в состав которого включена одна из дестинаций «Сияние Арктики».
</t>
  </si>
  <si>
    <t>Низкий уровень туристического потока в 2020 году обусловлен эпидемиологической обстановкой</t>
  </si>
  <si>
    <t>снижение показателя в связи с неблагоприятной эпидемиологической обстановкой и установлением в работе ограничительных мер</t>
  </si>
  <si>
    <t>Завершение реконструкции перенесено на 31.12.2021 при получении финансирования. Количество номеров - 134 ед.</t>
  </si>
  <si>
    <t>Завершение реконструкции перенесено на 01.06.2023 при получении финансирования. Количество номеров - 74 ед.</t>
  </si>
  <si>
    <t>В рамках формирования мастер-плана ТРК "Арктический" в 2020 году проведен ряд исследований:
1) маркетинговое исследование территории;
2) анализ существующих практик развития туризма в арктической зоне;
3) доработка концепции развития инвестиционного проекта ТРК "Арктический";
5) модель взаимодействия участников Кластера.</t>
  </si>
  <si>
    <t>Проведены исследовательские поездки по арктическому побережью Таймыра в районе Хатангского залива, изучена горная система Хараелах. Исследования представлены на форумах российского и международного уровня</t>
  </si>
  <si>
    <t>Разработана программа развития будущего муниципального парка «Красные камни» и лыжной базы «Оль-Гуль». Презентация концепций прошла в декабре 2019 года.</t>
  </si>
  <si>
    <t>Брендовый маршрут – маршрут (туристский продукт в определении федерального закона «Об основах туристской деятельности в РФ»), отличительными характеристиками которого являются: узнаваемость, круглогодичность/сезонность, регулярность, целостность, соответствие стандартам РФ по предоставлению туристических и иных услуг, входящих в туристический продукт. Маршрут должен быть утвержден как брендовый федеральным органом исполнительной власти в сфере туризма. По состоянию на 2021 год территория не подходит для создания брендового тура.  Как альтернатива с 2019 года АРН проводит блог и инфотуры, которые позволяют увеличить качество туристических услуг и продвинуть существующие туристические маршруты</t>
  </si>
  <si>
    <t>В 2020 году велась работа по созданию сайта для МАУ «Центр развития туризма». В 2021 году будет продолжена работа по его окончательной доработке, тестированию и наполнению</t>
  </si>
  <si>
    <t>Сроки реализации перенесены на 2021 год</t>
  </si>
  <si>
    <t xml:space="preserve">Снижение потребности изготовления материалов в связи неблагоприятной эпидемиологической обстановкой и отменой ряда мероприятий </t>
  </si>
  <si>
    <t>В 2020 году фестиваль «Северная ягода» прошел 25-26 июля в новом онлайн-формате</t>
  </si>
  <si>
    <t>Плановое значение не было достигнуто, в связи с переводом мероприятия в онлайн-формат</t>
  </si>
  <si>
    <t>Индикатор не выполнен, в связи с ограничительными мерами, связанных с распространением коронавирусной инфекции</t>
  </si>
  <si>
    <t>отмена мероприятий в связи с неблагоприятной эпидемиологической обстановкой</t>
  </si>
  <si>
    <t>1. 12-14 марта 2020 г., г. Москва, Международная туристическая выставка "Интурмаркет-2020". 
2. Июль-октябрь 2020 г., г. Москва и г. Тверь, участие во Всероссийском конкурсе на создание туристско-рекреационных кластеров и развитие экотуризма в России.
4. 18-22 сентября 2020 г., г. Санкт-Петербург, Первый международный арктический медиа-конгресс.
5. 27 сентября 2020 г., Круглый стол для представителей туриндустрии.
6. 28-30 октября 2020 г., г. Сочи, III Международная конференция "Природный туризм.
7. 12-15 ноября 2020 г., г. Норильск и г. Дудинка, Информационный тур для блогеров под Фестиваль коренных народов Крайнего Севера "Большой Аргиш".
8. 25 ноября 2020 г., Прямая линия гостеприимства АСИ. Красноярский край. 
9. 25-27 ноября 2020 г., 3 декабря 2020 г., г. Москва, "Дни Арктики и Антарктики в Москве".
10. 10-13 декабря 2020 г., г. Санкт-Петербург, X Международный форум Арктика Настоящее и будущее.</t>
  </si>
  <si>
    <t xml:space="preserve">В связи с введением ограничительных мер были предложены интерактивный, удаленный и иной формат мероприятий, не предполагающие массового участия людей. В итоге был проведен десятидневный марафон «Большой Аргиш».
Также с целью популяризации культурно-событийных мероприятий на территории Таймыра в период проведения этнического фестиваля народов Крайнего севера «Большой Аргиш» совместно с информационно-аналитическим агентством EastRussia с 12 по 15 ноября 2020 года был организован тур с блогерами.  </t>
  </si>
  <si>
    <t>В связи с неблагоприятной санитарно-эпидемиологической обстановкой, мероприятие не проводилось</t>
  </si>
  <si>
    <t>В 2020 году разработан и отпечатан информационный буклет «Красные камни». Буклет распространяется среди туристов и гостей Норильска, в дальнейшем планируется его размещение в гостиницах, отелях и хостелах города</t>
  </si>
  <si>
    <t>Унифицированный туристский паспорт размещен на официальном сайте города Норильска</t>
  </si>
  <si>
    <t>В рамках развития межмуниципального сотрудничества в апреле 2020 года заключено Соглашение о создании межмуниципальной рабочей группы с представителями муниципального образования город Норильск, Таймырского Долгано-Ненецкого муниципального района и Автономной некоммерческой организации «Агентство развития Норильска»</t>
  </si>
  <si>
    <t>Примечание к факту 2020 года</t>
  </si>
  <si>
    <t>Примечание к факту 2021 года</t>
  </si>
  <si>
    <t>Реализация проекта перенесена на 2022-2024 годы</t>
  </si>
  <si>
    <t>Не актуален</t>
  </si>
  <si>
    <t>Проект реализован в 2019 году</t>
  </si>
  <si>
    <t>1 пусковой комплекс автомобильной дороги в веден в эксплуатацию в 2018 году. 
2 пусковой комплекс - на 2027-2029 годы</t>
  </si>
  <si>
    <t>Реализация проекта перенесена на 2023-2024 годы</t>
  </si>
  <si>
    <t>Реализован в 2020 году</t>
  </si>
  <si>
    <t>Изменение сроков выполнения реконструкции на 2021-2022 годы</t>
  </si>
  <si>
    <t>Идет приемка и настройка RFID оборудования, проверка меток. Планируется оснастить библиотечный фонд метками во 2 полугодии 2022 года</t>
  </si>
  <si>
    <t>Из-за увеличения стоимость изданий уменьшается количество новых поступлений, соответственно снижается показатель обновляемости библиотечного фонда</t>
  </si>
  <si>
    <t>Проект «MASTERFEST» - фестиваль научно-технического творчества получил грантовую поддержку в размере 1500000,0 руб. благотворительной программы ПАО ГМК "Норильский никель" "Мир новых возможностей"</t>
  </si>
  <si>
    <t>В 2021 году в рамках благотворительной программе ПАО ГМК "Норильский никель" "Мир новых возможностей" выиграл проект ЭкоЛОГИЧНО и ART-практично. Проект развития культуры потребления.  Реализация музейной эко-программы с механизмами вовлечения жителей г. Норильска в практические занятия по производству сувениров из пластикового вторсырья</t>
  </si>
  <si>
    <t>Гранты в форме субсидий на реализацию МП "Благоустройство территории" не поступали. Муниципальной программой предусмотрено содержание объектов.</t>
  </si>
  <si>
    <t>Незначительное снижение показателя связано с ограничительными мерами и ростом заболеваемости коронавирусной инфекцией COVID-19 среди населения</t>
  </si>
  <si>
    <t>Увеличение показателя связано с большим количеством поддержанных молодежных проектов в рамках мероприятия "Территория Красноярский край" МБУ "Молодежный центр" за счет средств краевой субсидии</t>
  </si>
  <si>
    <t>Показатель увеличен вследствие присоединения к большему количеству краевых акций, повышения спроса среди молодых граждан к добровольческой, волонтерской и патриотической деятельности</t>
  </si>
  <si>
    <t xml:space="preserve">Всего за 2021 год к профессиональному обучению и дополнительному профессиональному образованию приступило 290 чел., из них 226 безработных гражданина, 37 женщин, находящихся в отпуске по уходу за ребенком до достижения им возраста трех лет и 27 незанятых граждан, которым в соответствии с законодательством РФ назначена трудовая пенсия по старости и которые стремятся возобновить трудовую деятельность. </t>
  </si>
  <si>
    <t>В 2021 году данный проект не реализовывался.</t>
  </si>
  <si>
    <t>По итогам 2021 года с целью поиска подходящей работы зарегистрировано 94 выпускника образовательных организаций, трудоустроено - 72 чел.</t>
  </si>
  <si>
    <t>По итогам года 5 безработных граждан смогли реализовать свои бизнес-проекты в следующих сферах деятельности: открыли магазин-офис по продаже товаров и услуг противопожарного назначения, парикмахерскую, мастерскую по изготовлению натуральной косметики по уходу за телом, ателье, а также экскурсионное бюро.</t>
  </si>
  <si>
    <t>https://visit-norilsk.ru (моб.версия)</t>
  </si>
  <si>
    <t xml:space="preserve">На протяжении 2021 г. велась работа по наполнению официального сайта Центра (http://visit-norilsk.ru) содержательным контентом. 
Таже в 2021 г. запущены: 
1. сайт грантового проекта "Виртуальное экскурсионное бюро "Норильск 360" (https://veb-norilsk.ru/), реализованного МАУ "ЦРТ" . Охват посетителей в 2021 г составил 21 посетитель.
2. Ютуб-канал Центра (https://youtube.com/channel/UCGOpnKrw-C3RyGy7pe9Y4yg). с размещенным видеоконтентом. Кол-во просмотров - 15 037 ед.
3. социальные страницы Инстаграм, Фейсбук (В настоящее время обе соцсети заблокированы   Роскомнадзором), Вконтакте (https://vk.com/visit_norilsk). Кол-во посещений - 8 771 ед. 
В 2021 году Центром:
1. издана и распостранена информационная полиграфическая продукция тираж 15 310 ед. 
2. создано и размещено на Ютуб-канале 9 видеороликов и один полнометражный фильм. 
</t>
  </si>
  <si>
    <t xml:space="preserve">В 2021 г. специалисты МАУ "ЦРТ" приняли участие в международных выставках MITT (г.Москва), Енисей (г.Красноярск). </t>
  </si>
  <si>
    <t>В 2021 г. на официальных медийных источниках МАУ "ЦРТ" в сети Интернет размещалась информация о  туристических маршрутах и турах на территории.</t>
  </si>
  <si>
    <t>Плановый показатель не достигнут, что обусловлено продолжительным отопительным периодом и устойчивыми низкими температурами</t>
  </si>
  <si>
    <t>Необходимое техническое оборудование для качественной деятельности телестудии приобретено в полном объеме.</t>
  </si>
  <si>
    <t>Высокий процент обучившихся в 2021 году обусловлен тем, что в период пандемии  муниципальным служащим Управления общего и дошкольного образования Администрации города Норильска была предоставлена возможность  повышать квалификацию в дистанционном режиме. А также большое количество муниципальных служащих прошли очно курсы повышения квалификации по теме: "Оказание первом медицинской помощи".</t>
  </si>
  <si>
    <t xml:space="preserve">Отсутствие специалистов направленных на стажировку обусловлено действием ограничительных мероприятий в период пандемии. </t>
  </si>
  <si>
    <t xml:space="preserve">Снижение целевого индикатора произошел за счет  несоблюдения субъектами МСП условий согласно постановления Администрации г Норильска от  29.07.2021  г.№ 390  «Порядка предоставления финансовой поддержки субъектам малого и среднего предпринимательства» </t>
  </si>
  <si>
    <t xml:space="preserve">Достигнутый высокий результат связан с увеличением заинтересованности субъектов предпринимательства в вопросах </t>
  </si>
  <si>
    <t>Курсы с участием приглашенного спикера из г. Красноярск. Изъявили желание посетить больше человек, чем планировалось</t>
  </si>
  <si>
    <t>В связи с Указом Губернатора Красноярского края от 27.03.2020 № 71-уг временного запрета на проведение на территории Красноярского края публичных, просветительских мероприятий с очным присутствием граждан в целях предупреждения распространения новой коронавирусной инфекции.</t>
  </si>
  <si>
    <t xml:space="preserve">В рамках МП "УКРиС" реализуется мероприятие "Здания МБУ ДО "СДЮТиЭ" СОК Оганер, г. Норильск, Центральный район, ул. Вальковская, д. 18": 2022 - обследовательские работы. 
2023 - проектно-изыскательские работы, проведение государственной экспертизы проектной документации и результатов инженерных изысканий, научно-исследовательские археологические работы в виде историко-культурного научного археологического обследования и ГИКЭ земельного участка. Цель проекта - реконструкция основного здания и строительство новых домиков </t>
  </si>
  <si>
    <t>С целью определения возможности строительства объекта "Центр управления городом", в 2022 году запланированы обмерные и обследовательские работы ростверка, расположенного по адресу: г. Норильск, Центральный район, ул. Красноярская, д. 2</t>
  </si>
  <si>
    <t xml:space="preserve">Вопрос о строительстве модульного здания Аэровокзала в настоящий момент на рассмотрении, финансирование не предусмотрено </t>
  </si>
  <si>
    <t xml:space="preserve">Проект реализует АНО "АРН" 
В 2020 выполнены инженерные изыскания. 
В настоящее время завершается разработка проектной документации. </t>
  </si>
  <si>
    <t>Все ОУ соответствуют современным требованиям обучения</t>
  </si>
  <si>
    <t>Фактическое исполнение не оценивалось в связи с реализацией перевода услуг на федеральном уровне и уровне субъекта</t>
  </si>
  <si>
    <t xml:space="preserve">
кв. м/чел.
%</t>
  </si>
  <si>
    <t xml:space="preserve">Проведены мероприятия по строительству и реконструкции объектов в области электроснабжения </t>
  </si>
  <si>
    <t>АО «НТЭК»,
МУП «КОС»</t>
  </si>
  <si>
    <t>Администрация города Норильска, АО «НТЭК»,
МУП «КОС»</t>
  </si>
  <si>
    <t xml:space="preserve">В сентябре 2021 года МБОУ "Школа-интернат" реорганизован путем присоединения к МБОУ "Средняя школа № 29" </t>
  </si>
  <si>
    <r>
      <t xml:space="preserve">В 2021 году приступили к обучению - 150 чел., в т.ч. по категориям:
- женщины, находящиеся в отпуске по уходу за ребенком в возрасте до 3 лет - 56 чел.;
- граждане, ищущие работу - 48 чел.;
- граждане в возрасте 50 лет и старше - 23 чел.;
- женщины, не состоящие в трудовых отношениях и имеющие детей дошкольного возраста - 11 чел.;
- безработные граждане - 10 чел.;
- граждане предпенсионного возраста - 2 чел.
</t>
    </r>
    <r>
      <rPr>
        <i/>
        <sz val="19"/>
        <rFont val="Times New Roman"/>
        <family val="1"/>
        <charset val="204"/>
      </rPr>
      <t xml:space="preserve">Справочно:
Организация профессионального обучения и дополнительного профессионального образования отдельных категорий граждан:
- граждане, ищущие работу и обратившиеся в органы службы занятости, включая безработных;
- граждане в возрасте 50 лет и старше;
- граждане предпенсионного возраста;
- женщины, находящиеся в отпуске по уходу за ребенком в возрасте до 3 лет;
- женщины, не состоящие в трудовых отношениях и имеющие детей дошкольного возраста.
</t>
    </r>
  </si>
  <si>
    <t>Архитектурный эскизный проект принят к реализации Градостроительным советом города Норильска 10.06.2021 г.</t>
  </si>
  <si>
    <t>Реконструкция здания планируется в период 2022 - 2024 гг.</t>
  </si>
  <si>
    <t>Недостижение показателя обусловлено введением ограничительных мер, связанных с распространением коронавирусной инфекции</t>
  </si>
  <si>
    <t xml:space="preserve">Услуги оказываются спортивными школами определенному количеству лиц, в установленном объеме, согласно утвержденных планов комплектования на спортивный сезон (перенаполнение групп в действующих спортивных школах невозможно). </t>
  </si>
  <si>
    <t>Невыполнение показателя обусловлено неблагоприятной эпидемиологической ситуацией: согласно постановлению Главного государственного санитарного врача РФ от 30 июня 2020 г. № 16 "Об утверждении санитарно-эпидемиологических правил СП 3.1/2.4.3598-20 "Санитарно-эпидемиологические требования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(COVID-19)", предусматривающему особый режим работы школ, детских садов, учреждений по организации детского отдыха и оздоровления, детских досуговых центров и т. д.</t>
  </si>
  <si>
    <t>Мероприятие не актуально, в связи с переводом услуг в электронный вид  на уровень субъекта РФ</t>
  </si>
  <si>
    <t>Ведется разработка проекта по созданию нового официального сайта города Норильска</t>
  </si>
  <si>
    <t>В течение 2021 года Управлением жилищного фонда Администрации города Норильска вручены свидетельства 325 семьям норильчан (508 человек) на сумму 740 549,7 тыс. руб., из которых по состоянию на 01.01.2022 года реализовано 98 свидетельств (153 человека) на сумму 220 596,0 тыс. руб. (срок реализации – до 22.06.2022).</t>
  </si>
  <si>
    <t>По состоянию на 31.12.2021 пропускная способность ВОЛС составила более 80 Гб/с, расширение канала связано с коммерческой деятельностью операторов связи</t>
  </si>
  <si>
    <t>В течение 2021 года не определены источники финансирования и срок реализации мероприятия</t>
  </si>
  <si>
    <t>Реализация проекта не начата</t>
  </si>
  <si>
    <t>Не подключены отраслевые учреждения</t>
  </si>
  <si>
    <t>Начало реализации проекта в проработке, начало работ намечено на второе полугодие 2022 года</t>
  </si>
  <si>
    <t>Фактическое значение в соответствии с данными статистической отчетности формы № 3-ДГ (мо) за 2021 год и в соответствии с проведенной подрядной организацией по муниципальному контракту диагностикой автомобильных дорог в 2021 году. Снижение показателя обусловлено введением ограничительных мер, связанных с распространением коронавирусной инфекции</t>
  </si>
  <si>
    <t>В течение 2021 года на 2-х многоквартирных домах работы не выполнены в связи с выявленной необходимостью проведения дополнительных работ, по 1 многоквартирному дому работы будут продолжены в 2022 году.</t>
  </si>
  <si>
    <t xml:space="preserve">На территории города Норильска осуществляют свою деятельность 5 предприятий:
ООО НМУ ОАО «СВЭМ»;
АО «ТТК»;
ООО «Центр экологического сопровождения» (2 объекта: район Центральный и п. Снежногорск);
ООО «Байкал»
</t>
  </si>
  <si>
    <t>Период реализации 2023-2025гг.</t>
  </si>
  <si>
    <t>Период реализации 2021-2023гг. Реализация проекта предусматривается пятью пусковыми комплексами с поэтапной заменой физически изношенных насосных агрегатов в ПНС-2</t>
  </si>
  <si>
    <t>Период реализации 2023 год. Реализация плана по добыче руды на уровне 4 250 тыс. т в год</t>
  </si>
  <si>
    <t>Период реализации 2033 год. Обеспечение добычи руды по шахте «Глубокая» рудника «Скалистый» в размере 2,2 млн т в год</t>
  </si>
  <si>
    <t>Период реализации 2023. Поддержание выбывающих производственных мощностей рудника «Скалистый»</t>
  </si>
  <si>
    <t>Период реализации 2020-2030.Проект предусматривает освоение запасов южной части месторождения Норильск-1 с содержанием МПГ и цветных металлов</t>
  </si>
  <si>
    <t>ФГБОУ ВО «Заполярный государственный университет им. Н.М. Федоровского»</t>
  </si>
  <si>
    <t>Мастре-план города Норильска разработан. Определены 11 приоритетных направлений развития города.</t>
  </si>
  <si>
    <t>Не планировался проект на 2021 год, не планируется на 2022 год</t>
  </si>
  <si>
    <t>ПСД разрабатывается, срок июль 2022</t>
  </si>
  <si>
    <t>Ведется разработка концепции индустриального парка со строительным кластером и технопарка университетского типа</t>
  </si>
  <si>
    <t>Отменен в 2021 году по причине эпидемиологической обстановки в городе</t>
  </si>
  <si>
    <t>Проведен в 2021 году в формате уличной ярмарки по причине эпидемиологической обстановки в городе</t>
  </si>
  <si>
    <t>В 2021 году охват трансляциями виртуального концертного зала составил 1328 чел.</t>
  </si>
  <si>
    <t>Увеличение показателя связано  с увеличением учебных часов по учебному плану школы и в связи с подсчётом онлайн зрителей (ранее онлайн зрители не учитывались).</t>
  </si>
  <si>
    <t>Невыполнение планового показателя 2021 года обусловлено ограничительными мерами по заполняемости залов и необходимостью предъявления Q-код при посещении мероприятий.</t>
  </si>
  <si>
    <t>В летний период в рамках трудовых отрядов школьников трудоустроено в муниципальные организации - 812 чел., в городские организации - 75 чел. из числе несовершеннолетних граждан от 14 до 18 лет</t>
  </si>
  <si>
    <t>В 2021 году приобретено 20 ед. автобусов ЛиАЗ-529265 (информация по отчету реализации МП за 2021 год)</t>
  </si>
  <si>
    <t>Министерство строительства Красноярского края в 2021 году утвердило список из 27 молодых семей (из города Норильска) на приобретение жилья и улучшение своих жилищных условий.
По состоянию на 01.01.2022 все молодые семьи (27 семей/89 человек) приобрели жилые помещения с использованием средств федерального, краевого и местного бюджетов</t>
  </si>
  <si>
    <t>Плановый показатель не достигнут, что обусловлено неблагоприятными погодными условиями  (информация по отчету реализации МП за 2021 год)</t>
  </si>
  <si>
    <t>На 2021 год планировалось выполнить ремонт 259 квартир, фактически отремонтировано 93 квартиры. Отклонение от плана обусловлено не выполнением ремонта 166 квартир по причинам: невыполнение работ подрядными организациями в установленный срок (89 квартир); несостоявшимися аукционами на ремонт 51 квартиры ввиду отсутствия заявок от подрядных организаций; предоставлением гражданам 2-х квартир под переселение из аварийного жилищного фонда; не выполнением ремонтных работ 24-х муниципальных квартир для детей-сирот ввиду нарушения сроков проведения работ подрядной организацией, работы будут продолжены в 2022 году (информация по отчету реализации МП за 2021 год)</t>
  </si>
  <si>
    <t>В 2021 году планировалось предоставление 106 гражданам материальной помощи на улучшение технических характеристик предоставляемых жилых помещений, фактически произведены выплаты за 95 отремонтированных жилых помещений, данные расходы носят заявительный характер (информация по отчету реализации МП за 2021 год)</t>
  </si>
  <si>
    <t>Индикатор не выполнен, в связи с ограничительными мерами, связанных с распространением коронавирусной инфекции (проведение слета было отменено)</t>
  </si>
  <si>
    <t>В соответствии с приказом министерства спорта Российской Федерации от 21.03.2018 расчет производится по показателю "Уровень обеспеченности граждан спортивными сооружениями", который определяется как процентное соотношение величины пропускной способности существующих спортивных сооружений к величине необходимой пропускной способности. Расчет показателя "Обеспеченность населения спортивными залами от нормативной потребности" не производится.</t>
  </si>
  <si>
    <t>Уменьшение связано с внесением изменения в закон о молодежной политике в РФ от 30.12.2020 № 489-ФЗ, согласно которому с 2021 года к молодежи относятся лица в возрасте от 14 до 35 лет (до 2020 года возрастная категория составляла от 14 до 30 лет). Так, численность молодежи в возрасте от 14 до 35 лет на территории города в 2021 году составила 57 900 чел. В 2020 году, для расчета показателя удельного веса использовалась численность от 14 до 30 лет, которая составляла 39 335 чел. Вместе с тем, показатель в абсолютном выражении увеличился за счет роста интереса молодых граждан к проводимым мероприятиям</t>
  </si>
  <si>
    <t>В течение 2021 года получено:
- 31 марта - положительное заключение государственной экспертизы проектной документации и инженерных изысканий на 254 учащихся (5-11 классы);
- 30 июля - положительное заключение государственной экспертизы проектной документации в части проверки достоверности определения сметной стоимости реконструкции объекта капитального строительства. 
Реализация проекта будет осуществляться за счет внебюджетных источников.</t>
  </si>
  <si>
    <t>Открытие классов МЧС-резерв в районах Талнах, Кайеркан, г.п. Снежногорск не востребовано школьниками и их родителями (законными представителями)</t>
  </si>
  <si>
    <t>Невыполнение показателя связано с ограничетельными мерами и отменой ряда мероприятий</t>
  </si>
  <si>
    <t>Функции по развитию туризма переданы из УДКиИ в МАУ "Центр по развитию туризма"
В целях популяризации туристского потенциала Норильска по заказу МАУ «Центр развития туризма» разработана, отпечатана и распространена полиграфическая продукция в количестве 7310 штук:
 буклет о Норильске «Открой для себя Норильск», в количестве 880 штук;
 карта-путеводитель по Норильску, в количестве 6200 штук;
 буклет, посвященный грантовому проекту «Виртуальное экскурсионное бюро «Норильск 360», в количестве 230 штук.</t>
  </si>
  <si>
    <t>Функции по развитию туризма переданы из УДКиИ в МАУ "Центр по развитию туризма"
В 2021 году актуализированный унифицированный туристский паспорт за 2020 год размещен на официальном сайте города Норильска.</t>
  </si>
  <si>
    <t>Выполнено создание систем оповещения в районах Талнах, Кайеркан, ж/о Оганер. В Центральном районе работы планируется выполнить в 2022 году</t>
  </si>
  <si>
    <t>Аварийными признаны 8 МКД, из 856 зданий</t>
  </si>
  <si>
    <t>Реорганизация МБОУ "Школа - интернат № 2"</t>
  </si>
  <si>
    <r>
      <t xml:space="preserve">1) Снесен жилой дом по ул. Шахтерская, д. 5.
2) Срок расселения граждан из многоквартирного дома по ул. </t>
    </r>
    <r>
      <rPr>
        <b/>
        <u/>
        <sz val="19"/>
        <color theme="1"/>
        <rFont val="Times New Roman"/>
        <family val="1"/>
        <charset val="204"/>
      </rPr>
      <t>Дзержинского</t>
    </r>
    <r>
      <rPr>
        <sz val="19"/>
        <color theme="1"/>
        <rFont val="Times New Roman"/>
        <family val="1"/>
        <charset val="204"/>
      </rPr>
      <t xml:space="preserve">, д. 3, установлен 31.12.2021 года, сроки сноса перенесены на </t>
    </r>
    <r>
      <rPr>
        <b/>
        <u/>
        <sz val="19"/>
        <color theme="1"/>
        <rFont val="Times New Roman"/>
        <family val="1"/>
        <charset val="204"/>
      </rPr>
      <t>2022</t>
    </r>
    <r>
      <rPr>
        <sz val="19"/>
        <color theme="1"/>
        <rFont val="Times New Roman"/>
        <family val="1"/>
        <charset val="204"/>
      </rPr>
      <t xml:space="preserve"> год.</t>
    </r>
  </si>
  <si>
    <r>
      <t xml:space="preserve">Проект не актуален, в связи с ликвидацией ООО "Заполярный тепличный комплекс" </t>
    </r>
    <r>
      <rPr>
        <sz val="19"/>
        <color rgb="FF000000"/>
        <rFont val="Times New Roman"/>
        <family val="1"/>
        <charset val="204"/>
      </rPr>
      <t>30.04.2020</t>
    </r>
  </si>
  <si>
    <t>Информация отсутствует (с 2021 года выпускники школ напрямую взаимодействуют с высшими учебными заведениями и Министерством здравоохранения Красноярского края)</t>
  </si>
  <si>
    <t>Не актуален (планируется реализация в рамках благоустройства прилегающей территории озера Долгое через внебюджетный фонд)</t>
  </si>
  <si>
    <t>В связи с изменением в законодательстве, срок установки продлен до 2035</t>
  </si>
  <si>
    <t>Завершение реконструкции перенесено на 31.12.2022</t>
  </si>
  <si>
    <t>Проект завершен в 2020 году</t>
  </si>
  <si>
    <t xml:space="preserve"> -</t>
  </si>
  <si>
    <t>Не планировались на 2021-2022 годы</t>
  </si>
  <si>
    <t>-
559</t>
  </si>
  <si>
    <t>Данные предоставлены МУП КОС, % износа рассчитан исходя из начисленных сумм амортизации основных фондов по данному виду группы. АО "НТЭК" данные не предоставил. Также в 2019 году основные фонды МУП "КОС" были распределены по видам экономической деятельности, что влияет на расчет показателей.</t>
  </si>
  <si>
    <t>По региональной программе плановый показатель по выполнению работ по ремонту общего имущества многоквартирных домов 45 единиц, фактическое исполнение 45 единиц, по муниципальной программе плановый показатель по выполнению работ по ремонту общего имущества многоквартирных домов 120 единиц, фактическое исполнение 111 единиц.</t>
  </si>
  <si>
    <t xml:space="preserve">В 2021 г. информация была размещена в официальном  каталоге МИТТ  публикуемом в рамках выставки.
Таже в 2021 г. информация была размещена: 
1. сайт грантового проекта "Виртуальное экскурсионное бюро "Норильск 360" (https://veb-norilsk.ru/), реализованного МАУ "ЦРТ" . 
2. Ютуб-канал Центра (https://youtube.com/channel/UCGOpnKrw-C3RyGy7pe9Y4yg). с размещенным видеоконтентом. 
3. социальные страницы Инстаграм, Фейсбук (В настоящее время обе соцсети заблокированы   Роскомнадзором), Вконтакте (https://vk.com/visit_norilsk). 
В 2021 году Центром:
1. издана и распостранена информационная полиграфическая продукция тираж 15 310 ед. 
2. создано и размещено на Ютуб-канале 9 видеороликов и один полнометражный фильм. </t>
  </si>
  <si>
    <t xml:space="preserve">В 2021 г. создан и запущен сайт МАУ "Центр развития цтирзма", на котором размещены следующие разделы:
- о городе Норильске;
- места отдыха и достопримечательности;
- информация о турах и экскурсиях, проводимых на териртории;
- информация для туриста (раздел с памятками, куда обратиться и т.д.);
- календарь событий  проводимыхмероприятий на территории;
- новостной раздел и контакты.
На официальном сайте Администрации города Норильска в разделе "Туризм" размещена актуальная ссылка на сайт МАУ "Центр развития туризма". 
 База данных, созданная   МАУ "Центр развития туризма" содержит перечни:
- туропарторы, гиды и экскурсоводы, экскурсионноые маршруты; 
- туры и экскурсии;
- учреждения и НКО;
- КСР, места общественного питания;
- базы отдыха; 
Информацию, размещенную в базе можно получить по тел. 8(3919)43-71-47 , и эл. почте turizm@norilsk-city.ru. </t>
  </si>
  <si>
    <t>В 2021 году увеличилось количество спортсменов, принявших участие в выездных мероприятиях и по результатам соревнований, вошедших в сборную Красноярского края</t>
  </si>
  <si>
    <t>Снижение показателя обусловлено корректировкой подсчета детей, получающих услугу дополнительного образования, новой формой зачисления на обучение по дополнительным общеразвивающим программам с использованием АИС «Навигатор дополнительного образования Красноярского края».</t>
  </si>
  <si>
    <t>Не достижение показателя обусловлено изменением метода оценки (до 2017 года метод оценки показателя осуществлялся МКУ «УПРиУ» на основании опроса и субъективных данных. С 2017 года по согласованию с МИНэК данный показатель согласно реестру, размещается на официальном сайте ИФНС)</t>
  </si>
  <si>
    <t>Введен в эксплуатацию в 27.11.2019</t>
  </si>
  <si>
    <t>позвонит погрк</t>
  </si>
  <si>
    <t>На отчетную дату реализация проекта не начата</t>
  </si>
  <si>
    <t>Показатель в уровне 2019-2021гг. (информация на 2021 год не предоставлена)</t>
  </si>
  <si>
    <t>Не достижение показателя обусловлено внесением в календарный план на 2021 год физкультурных мероприятий и спортивных мероприятий муниципального образования город Норильск отдельных значимых физкультурно-оздоровительные и спортивные мероприятий по военно-прикладным и техническим видам спорта, в связи с введением ограничительных мер, связанных с распространением коронавирусной инфекции</t>
  </si>
  <si>
    <t>Не выполнение плана обусловлено сокращением сроков проведения оценки жилых помещений оценщиком и активностью граждан, вызванной принятием оперативных мер по предупреждению чрезвычайной ситуации при расселении аварийных домов по адресам: Надеждинская, д. 1 и Московская, д. 14</t>
  </si>
  <si>
    <t xml:space="preserve">Статистические данные Федеральной службы по надзору в сфере природопользования </t>
  </si>
  <si>
    <t>Снижение показателя обусловлено введением ограничительных мер, связанных с распространением коронавирусной инфекции</t>
  </si>
  <si>
    <t>В 2018 году выдано разрешение на строительство. На отчетную дату информация об объекте отсутствует</t>
  </si>
  <si>
    <t>Проект введен в эксплуатацию 22.11.2019 № 24-RU24312000-48-2019</t>
  </si>
  <si>
    <t>Реализация проекта не начата, по причине отсутствия адаптации используемого программного обеспечения для работы на отечественном программном обеспечении</t>
  </si>
  <si>
    <t>Строительство объекта на 2022-2024 не предусмотрено</t>
  </si>
  <si>
    <t>Реконструкция предусмотрена Комплексным планом до 2035 на 2022-2025 гг.</t>
  </si>
  <si>
    <t>Приложение 6</t>
  </si>
  <si>
    <t>В рамках выделенного финансирования во исполнение Указа Президента Российской Федерации от 07.05.2012 № 599 в 2020 году реконструкция МБДОУ по ул. Московская, д. 18 полностью завершена, однако введение в эксплуатацию МБДОУ планируется в течение 2021 года после получения положительного заключения государственной экологической экспертизы проектной документации</t>
  </si>
  <si>
    <t>В рамках выделенного финансирования во исполнение Указа Президента Российской Федерации от 07.05.2012 № 599  реконструкция МБДОУ по ул. Московская, д. 18 полностью завершена и введена в эксплуатацию в 2021 году</t>
  </si>
  <si>
    <t>В связи с введением ограничительных мер, связанных с распространением коронавирусной инфекции данные мероприятия не проводились</t>
  </si>
  <si>
    <t>Инициирование участия образовательных учреждений в грантовой программе "Мир новых возможностей" Управления благотворительных программ ЗФ ПАО "ГМК "Норильский никель" в целях улучшения материально-технической базы образовательного учреждения, создания условий для реализации творческого потенциала школьников.</t>
  </si>
  <si>
    <t>Увеличение кол-ва обучающихся, выехавших на мероприятия, обусловлено сокращением выездов в 2020 году (пандемийные ограничения), экономией, сложившейся в результате приобретения субсидированных авиабилетов и краткосрочностью проведения выездных мероприятий</t>
  </si>
  <si>
    <t>В 2021 году закуплен современный  профессиональный книжный сканер ЭларСкан А2-600. Специалисты сектора краеведения выполняют оцифровку архива местных газет и краеведческих изданий</t>
  </si>
  <si>
    <t>Модернизация библиотеки начнется во втором полугодии 2022 года (фасад, замена окон), завершится к концу 2023 года (капитальный ремонт помещения)</t>
  </si>
  <si>
    <t>Обеспечение жителям МО г. Норильск свободного доступа к образцам мирового классического искусства в целях формирования гармонично развитой личности.</t>
  </si>
  <si>
    <t>Участие творческих коллективов Норильска в традиционном Таймырском фестивале "Мы сможем сердцем Арктику...", г. Дудинка.</t>
  </si>
  <si>
    <t>Число волонтеров, обучаемых в проекте "Ровесник-ровеснику"</t>
  </si>
  <si>
    <t>Межведомственной комиссией по организации оздоровительного отдыха, санаторно-курортного лечения, занятости детей и подростков, принято решение - учитывая санитарно-эпидемиологическую обстановку, отменить деятельность трудовых отрядов школьников в 2020 году</t>
  </si>
  <si>
    <t>В связи с увеличением заявок на проведение физкультурных и спортивных мероприятий, в соответствии с календарным планом на 2021 год</t>
  </si>
  <si>
    <t>Снижение количества граждан, получивших социальную выплату в 2020 году, привело к снижению количества жилых помещений, поступивших в муниципальную собственность от получателей социальных выплат</t>
  </si>
  <si>
    <t>Стратегия развития профессиональной ориентации населения в Красноярском крае до 2030 года утверждена распоряжением Правительства Красноярского края от 05.03.2021 № 127-р.
Межведомственный план мероприятий на 2021-2023 годы по реализации Стратегии развития профессиональной ориентации населения в Красноярском крае до 2030 года в муниципальном образовании город Норильск, утвержден Главой города Норильска 30.04.2021.</t>
  </si>
  <si>
    <t>Плановый показатель на 2020 год в соответствии с утвержденной муниципальной программой "Содействие занятости населения" составил 246 чел. По факту трудоустроено 230 человек в связи с временной приостановкой приема на работу на части временных рабочих мест по причине установления ограничительных мер, обусловленных эпидемиологической обстановкой</t>
  </si>
  <si>
    <t>Разработана проектно-сметная документация и получено положительное заключение государственной экспертизы на строительство домов.
Незначительное не достижение показателя "Общая площадь жилого фонда, приходящаяся в среднем на 1 жителя" связано с переводом многоквартирного дома по ул. Комсомольская, 49В в нежилое помещение, а также с невведением  в эксплуатацию в 2020 году зданий в рамках выполненных ПАО "ГМК "Норильский никель" мероприятий по реконструкции жилого дома и общежития, вследствие чего также не достигнут показатель "Ввод в действие жилых домов на 1 жителя"</t>
  </si>
  <si>
    <t>Удельный вес общей площади жилищного фонда, оборудованной: водопроводом, канализацией, отоплением, горячим водоснабжением</t>
  </si>
  <si>
    <t>100% от плана работ за год. По улице Комсомольская отреставрировано: 2018 - панно "Космос", 2019 - панно "Металлурги" и "Строители", 2020 - мозаичная роспись панно "Олимпийцы"</t>
  </si>
  <si>
    <t>НЕ фестиваль, показатель "Количество участников мероприятия" применять нецелесообразно. Количество арт-объектов: в 2021 году подготовлены 4 торца для нанесения изображений, собраны истории норильчан для визуализации на всех сторонах (фасады, торцы) двух домов по адресам: ул. Б. Хмельницкого, 23 и 27</t>
  </si>
  <si>
    <t>Общестроительные работы по поддержанию в эксплуатационном состоянии памятника "Последние врата"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</si>
</sst>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0"/>
    <numFmt numFmtId="165" formatCode="0.0"/>
    <numFmt numFmtId="166" formatCode="#,##0_р_."/>
    <numFmt numFmtId="167" formatCode="#,##0.000"/>
    <numFmt numFmtId="168" formatCode="_-* #,##0.0_р_._-;\-* #,##0.0_р_._-;_-* &quot;-&quot;??_р_._-;_-@_-"/>
    <numFmt numFmtId="169" formatCode="#,##0.0_р_."/>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5"/>
      <color theme="1"/>
      <name val="Times New Roman"/>
      <family val="1"/>
      <charset val="204"/>
    </font>
    <font>
      <b/>
      <sz val="15"/>
      <color theme="1"/>
      <name val="Times New Roman"/>
      <family val="1"/>
      <charset val="204"/>
    </font>
    <font>
      <sz val="15"/>
      <name val="Times New Roman"/>
      <family val="1"/>
      <charset val="204"/>
    </font>
    <font>
      <u/>
      <sz val="15"/>
      <name val="Times New Roman"/>
      <family val="1"/>
      <charset val="204"/>
    </font>
    <font>
      <sz val="10"/>
      <name val="Arial"/>
      <family val="2"/>
      <charset val="204"/>
    </font>
    <font>
      <sz val="20"/>
      <name val="Times New Roman"/>
      <family val="1"/>
      <charset val="204"/>
    </font>
    <font>
      <sz val="20"/>
      <color theme="1"/>
      <name val="Times New Roman"/>
      <family val="1"/>
      <charset val="204"/>
    </font>
    <font>
      <b/>
      <sz val="20"/>
      <color theme="1"/>
      <name val="Times New Roman"/>
      <family val="1"/>
      <charset val="204"/>
    </font>
    <font>
      <sz val="19"/>
      <color theme="1"/>
      <name val="Times New Roman"/>
      <family val="1"/>
      <charset val="204"/>
    </font>
    <font>
      <b/>
      <sz val="19"/>
      <color theme="1"/>
      <name val="Times New Roman"/>
      <family val="1"/>
      <charset val="204"/>
    </font>
    <font>
      <b/>
      <sz val="19"/>
      <name val="Times New Roman"/>
      <family val="1"/>
      <charset val="204"/>
    </font>
    <font>
      <sz val="19"/>
      <name val="Times New Roman"/>
      <family val="1"/>
      <charset val="204"/>
    </font>
    <font>
      <vertAlign val="superscript"/>
      <sz val="19"/>
      <name val="Times New Roman"/>
      <family val="1"/>
      <charset val="204"/>
    </font>
    <font>
      <sz val="19"/>
      <color rgb="FF000000"/>
      <name val="Times New Roman"/>
      <family val="1"/>
      <charset val="204"/>
    </font>
    <font>
      <sz val="19"/>
      <color indexed="8"/>
      <name val="Times New Roman"/>
      <family val="1"/>
      <charset val="204"/>
    </font>
    <font>
      <sz val="19"/>
      <color rgb="FFFF0000"/>
      <name val="Times New Roman"/>
      <family val="1"/>
      <charset val="204"/>
    </font>
    <font>
      <vertAlign val="superscript"/>
      <sz val="19"/>
      <color theme="1"/>
      <name val="Times New Roman"/>
      <family val="1"/>
      <charset val="204"/>
    </font>
    <font>
      <sz val="19"/>
      <color theme="1"/>
      <name val="Calibri"/>
      <family val="2"/>
      <scheme val="minor"/>
    </font>
    <font>
      <i/>
      <sz val="19"/>
      <name val="Times New Roman"/>
      <family val="1"/>
      <charset val="204"/>
    </font>
    <font>
      <b/>
      <sz val="24"/>
      <color theme="1"/>
      <name val="Times New Roman"/>
      <family val="1"/>
      <charset val="204"/>
    </font>
    <font>
      <b/>
      <sz val="19"/>
      <color theme="1"/>
      <name val="Times New Roman"/>
      <family val="1"/>
      <charset val="204"/>
    </font>
    <font>
      <sz val="18.5"/>
      <name val="Times New Roman"/>
      <family val="1"/>
      <charset val="204"/>
    </font>
    <font>
      <b/>
      <sz val="36"/>
      <color theme="1"/>
      <name val="Times New Roman"/>
      <family val="1"/>
      <charset val="204"/>
    </font>
    <font>
      <sz val="1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24"/>
      <color theme="3" tint="0.39997558519241921"/>
      <name val="Times New Roman"/>
      <family val="1"/>
      <charset val="204"/>
    </font>
    <font>
      <b/>
      <sz val="26"/>
      <color theme="1"/>
      <name val="Times New Roman"/>
      <family val="1"/>
      <charset val="204"/>
    </font>
    <font>
      <b/>
      <sz val="20"/>
      <color indexed="81"/>
      <name val="Tahoma"/>
      <family val="2"/>
      <charset val="204"/>
    </font>
    <font>
      <sz val="20"/>
      <color indexed="81"/>
      <name val="Tahoma"/>
      <family val="2"/>
      <charset val="204"/>
    </font>
    <font>
      <sz val="17"/>
      <color theme="1"/>
      <name val="Times New Roman"/>
      <family val="1"/>
      <charset val="204"/>
    </font>
    <font>
      <sz val="19"/>
      <color rgb="FF000000"/>
      <name val="Arial"/>
      <family val="2"/>
      <charset val="204"/>
    </font>
    <font>
      <b/>
      <sz val="25"/>
      <color indexed="81"/>
      <name val="Tahoma"/>
      <family val="2"/>
      <charset val="204"/>
    </font>
    <font>
      <b/>
      <u/>
      <sz val="19"/>
      <color theme="1"/>
      <name val="Times New Roman"/>
      <family val="1"/>
      <charset val="204"/>
    </font>
    <font>
      <sz val="18"/>
      <color theme="1"/>
      <name val="Times New Roman"/>
      <family val="1"/>
      <charset val="204"/>
    </font>
  </fonts>
  <fills count="18">
    <fill>
      <patternFill patternType="none"/>
    </fill>
    <fill>
      <patternFill patternType="gray125"/>
    </fill>
    <fill>
      <patternFill patternType="solid">
        <fgColor rgb="FFC2D69B"/>
        <bgColor indexed="64"/>
      </patternFill>
    </fill>
    <fill>
      <patternFill patternType="solid">
        <fgColor theme="6" tint="0.39997558519241921"/>
        <bgColor indexed="64"/>
      </patternFill>
    </fill>
    <fill>
      <patternFill patternType="solid">
        <fgColor rgb="FFFBD4B4"/>
        <bgColor indexed="64"/>
      </patternFill>
    </fill>
    <fill>
      <patternFill patternType="solid">
        <fgColor rgb="FFCCC0D9"/>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8">
    <xf numFmtId="0" fontId="0" fillId="0" borderId="0"/>
    <xf numFmtId="43" fontId="3" fillId="0" borderId="0" applyFont="0" applyFill="0" applyBorder="0" applyAlignment="0" applyProtection="0"/>
    <xf numFmtId="0" fontId="8" fillId="0" borderId="0"/>
    <xf numFmtId="0" fontId="8" fillId="0" borderId="0"/>
    <xf numFmtId="0" fontId="2" fillId="0" borderId="0"/>
    <xf numFmtId="43" fontId="3" fillId="0" borderId="0" applyFont="0" applyFill="0" applyBorder="0" applyAlignment="0" applyProtection="0"/>
    <xf numFmtId="0" fontId="1" fillId="0" borderId="0"/>
    <xf numFmtId="0" fontId="8" fillId="0" borderId="0"/>
  </cellStyleXfs>
  <cellXfs count="982">
    <xf numFmtId="0" fontId="0" fillId="0" borderId="0" xfId="0"/>
    <xf numFmtId="0" fontId="4" fillId="0" borderId="0" xfId="0" applyFont="1" applyAlignment="1">
      <alignment horizontal="center"/>
    </xf>
    <xf numFmtId="0" fontId="4" fillId="0" borderId="0" xfId="0" applyFont="1"/>
    <xf numFmtId="0" fontId="6" fillId="0" borderId="0" xfId="0" applyFont="1"/>
    <xf numFmtId="0" fontId="4" fillId="0" borderId="0" xfId="0" applyFont="1" applyFill="1"/>
    <xf numFmtId="0" fontId="4" fillId="0" borderId="0" xfId="0" applyFont="1" applyFill="1" applyAlignment="1">
      <alignment wrapText="1"/>
    </xf>
    <xf numFmtId="0" fontId="6" fillId="0" borderId="0" xfId="0" applyFont="1" applyFill="1"/>
    <xf numFmtId="0" fontId="5" fillId="0" borderId="0" xfId="0" applyFont="1" applyAlignment="1">
      <alignment horizontal="center" vertical="center"/>
    </xf>
    <xf numFmtId="0" fontId="4" fillId="7" borderId="0" xfId="0" applyFont="1" applyFill="1"/>
    <xf numFmtId="0" fontId="4" fillId="3" borderId="0" xfId="0" applyFont="1" applyFill="1"/>
    <xf numFmtId="0" fontId="4" fillId="8" borderId="0" xfId="0" applyFont="1" applyFill="1"/>
    <xf numFmtId="0" fontId="6" fillId="0" borderId="0" xfId="0" applyFont="1" applyFill="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right" vertical="center"/>
    </xf>
    <xf numFmtId="0" fontId="10" fillId="0" borderId="0" xfId="0" applyFont="1" applyAlignment="1">
      <alignment horizontal="right" vertical="center"/>
    </xf>
    <xf numFmtId="0" fontId="11" fillId="0" borderId="0" xfId="0" applyFont="1" applyFill="1" applyAlignment="1">
      <alignment horizontal="right" vertical="center"/>
    </xf>
    <xf numFmtId="0" fontId="10" fillId="0" borderId="0" xfId="0" applyFont="1" applyFill="1" applyAlignment="1">
      <alignment horizontal="right" vertical="center"/>
    </xf>
    <xf numFmtId="164" fontId="10" fillId="0" borderId="0" xfId="0" applyNumberFormat="1" applyFont="1" applyAlignment="1">
      <alignment horizontal="right" vertical="center"/>
    </xf>
    <xf numFmtId="164" fontId="11"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1" fontId="10" fillId="0" borderId="0" xfId="0" applyNumberFormat="1" applyFont="1" applyFill="1" applyAlignment="1">
      <alignment horizontal="right" vertical="center"/>
    </xf>
    <xf numFmtId="49" fontId="10" fillId="0" borderId="0" xfId="0" applyNumberFormat="1"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Fill="1" applyAlignment="1">
      <alignment horizontal="center" vertical="center"/>
    </xf>
    <xf numFmtId="0" fontId="12" fillId="0" borderId="0" xfId="0" applyFont="1" applyAlignment="1">
      <alignment horizontal="left" vertical="center"/>
    </xf>
    <xf numFmtId="164" fontId="12" fillId="0" borderId="0" xfId="0" applyNumberFormat="1" applyFont="1" applyAlignment="1">
      <alignment horizontal="righ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167" fontId="14"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right" vertical="center" wrapText="1"/>
    </xf>
    <xf numFmtId="164" fontId="14" fillId="2"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164" fontId="15" fillId="4" borderId="1" xfId="0" applyNumberFormat="1" applyFont="1" applyFill="1" applyBorder="1" applyAlignment="1">
      <alignment horizontal="right" vertical="center" wrapText="1"/>
    </xf>
    <xf numFmtId="49" fontId="15" fillId="5" borderId="1" xfId="0" applyNumberFormat="1" applyFont="1" applyFill="1" applyBorder="1" applyAlignment="1">
      <alignment horizontal="center" vertical="center" wrapText="1"/>
    </xf>
    <xf numFmtId="164" fontId="15" fillId="5" borderId="1" xfId="0" applyNumberFormat="1" applyFont="1" applyFill="1" applyBorder="1" applyAlignment="1">
      <alignment horizontal="right" vertical="center" wrapText="1"/>
    </xf>
    <xf numFmtId="9" fontId="15" fillId="0" borderId="1" xfId="0" quotePrefix="1" applyNumberFormat="1" applyFont="1" applyFill="1" applyBorder="1" applyAlignment="1">
      <alignment horizontal="left" vertical="center" wrapText="1"/>
    </xf>
    <xf numFmtId="0" fontId="15" fillId="0" borderId="3" xfId="0" applyFont="1" applyFill="1" applyBorder="1" applyAlignment="1">
      <alignment horizontal="center" vertical="center" wrapText="1"/>
    </xf>
    <xf numFmtId="0" fontId="17" fillId="0" borderId="1" xfId="0" applyFont="1" applyFill="1" applyBorder="1" applyAlignment="1">
      <alignment vertical="center" wrapText="1"/>
    </xf>
    <xf numFmtId="9" fontId="15" fillId="0" borderId="1" xfId="0" quotePrefix="1" applyNumberFormat="1" applyFont="1" applyFill="1" applyBorder="1" applyAlignment="1">
      <alignment horizontal="center" vertical="center" wrapText="1"/>
    </xf>
    <xf numFmtId="0" fontId="15" fillId="0" borderId="1" xfId="0" applyFont="1" applyFill="1" applyBorder="1" applyAlignment="1">
      <alignment horizontal="center" vertical="center"/>
    </xf>
    <xf numFmtId="1"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15" fillId="0" borderId="1" xfId="0" quotePrefix="1"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9" fontId="15" fillId="0" borderId="1"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164" fontId="14" fillId="7" borderId="1" xfId="0" applyNumberFormat="1" applyFont="1" applyFill="1" applyBorder="1" applyAlignment="1">
      <alignment horizontal="right" vertical="center" wrapText="1"/>
    </xf>
    <xf numFmtId="164" fontId="15" fillId="7" borderId="1" xfId="0" applyNumberFormat="1" applyFont="1" applyFill="1" applyBorder="1" applyAlignment="1">
      <alignment horizontal="right" vertical="center" wrapText="1"/>
    </xf>
    <xf numFmtId="49" fontId="15" fillId="0" borderId="1" xfId="0" applyNumberFormat="1" applyFont="1" applyFill="1" applyBorder="1" applyAlignment="1">
      <alignment horizontal="center" vertical="center"/>
    </xf>
    <xf numFmtId="3" fontId="12" fillId="0" borderId="1" xfId="0" applyNumberFormat="1" applyFont="1" applyFill="1" applyBorder="1" applyAlignment="1">
      <alignment vertical="center" wrapText="1"/>
    </xf>
    <xf numFmtId="164" fontId="15" fillId="0" borderId="1" xfId="0" applyNumberFormat="1" applyFont="1" applyFill="1" applyBorder="1" applyAlignment="1">
      <alignment horizontal="right" vertical="center"/>
    </xf>
    <xf numFmtId="164" fontId="14" fillId="8" borderId="1" xfId="0" applyNumberFormat="1" applyFont="1" applyFill="1" applyBorder="1" applyAlignment="1">
      <alignment horizontal="right" vertical="center" wrapText="1"/>
    </xf>
    <xf numFmtId="164" fontId="15" fillId="8" borderId="1" xfId="0" applyNumberFormat="1" applyFont="1" applyFill="1" applyBorder="1" applyAlignment="1">
      <alignment horizontal="right" vertical="center" wrapText="1"/>
    </xf>
    <xf numFmtId="0" fontId="15" fillId="0" borderId="3" xfId="0" applyFont="1" applyFill="1" applyBorder="1" applyAlignment="1">
      <alignment vertical="center" wrapText="1"/>
    </xf>
    <xf numFmtId="2" fontId="15" fillId="0" borderId="1" xfId="2" applyNumberFormat="1" applyFont="1" applyFill="1" applyBorder="1" applyAlignment="1">
      <alignment horizontal="center" vertical="center" wrapText="1"/>
    </xf>
    <xf numFmtId="165" fontId="15" fillId="0" borderId="1" xfId="3"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165" fontId="15" fillId="0" borderId="2" xfId="3"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right" vertical="center" wrapText="1"/>
    </xf>
    <xf numFmtId="0" fontId="15" fillId="0" borderId="5" xfId="0" quotePrefix="1" applyFont="1" applyFill="1" applyBorder="1" applyAlignment="1">
      <alignment vertical="center" wrapText="1"/>
    </xf>
    <xf numFmtId="0" fontId="15" fillId="0" borderId="5" xfId="0" applyFont="1" applyFill="1" applyBorder="1" applyAlignment="1">
      <alignment vertical="center" wrapText="1"/>
    </xf>
    <xf numFmtId="0" fontId="12" fillId="0" borderId="0" xfId="0" applyFont="1" applyFill="1" applyAlignment="1">
      <alignment horizontal="left" vertical="center" wrapText="1"/>
    </xf>
    <xf numFmtId="0" fontId="12" fillId="0" borderId="1" xfId="0" applyFont="1" applyFill="1" applyBorder="1" applyAlignment="1">
      <alignment horizontal="left" vertical="center" wrapText="1"/>
    </xf>
    <xf numFmtId="2" fontId="12" fillId="0" borderId="0" xfId="0" applyNumberFormat="1" applyFont="1" applyFill="1" applyAlignment="1">
      <alignment horizontal="left" vertical="center" wrapText="1"/>
    </xf>
    <xf numFmtId="3" fontId="12" fillId="0" borderId="1" xfId="0" applyNumberFormat="1" applyFont="1" applyFill="1" applyBorder="1" applyAlignment="1">
      <alignment horizontal="center" vertical="center" wrapText="1"/>
    </xf>
    <xf numFmtId="0" fontId="13" fillId="0" borderId="1" xfId="0" applyFont="1" applyFill="1" applyBorder="1" applyAlignment="1">
      <alignment horizontal="right" vertical="center" wrapText="1"/>
    </xf>
    <xf numFmtId="0" fontId="13" fillId="2" borderId="1" xfId="0" applyFont="1" applyFill="1" applyBorder="1" applyAlignment="1">
      <alignment horizontal="center" vertical="center" wrapText="1"/>
    </xf>
    <xf numFmtId="164" fontId="15" fillId="3" borderId="1" xfId="0" applyNumberFormat="1" applyFont="1" applyFill="1" applyBorder="1" applyAlignment="1">
      <alignment horizontal="right" vertical="center" wrapText="1"/>
    </xf>
    <xf numFmtId="0" fontId="14" fillId="0" borderId="1" xfId="0" applyFont="1" applyFill="1" applyBorder="1" applyAlignment="1">
      <alignment horizontal="center" vertical="center"/>
    </xf>
    <xf numFmtId="49" fontId="12" fillId="0" borderId="1" xfId="0" applyNumberFormat="1" applyFont="1" applyFill="1" applyBorder="1" applyAlignment="1">
      <alignment vertical="center" wrapText="1"/>
    </xf>
    <xf numFmtId="164" fontId="14" fillId="0" borderId="1" xfId="0" applyNumberFormat="1" applyFont="1" applyFill="1" applyBorder="1" applyAlignment="1">
      <alignment horizontal="right" vertical="center"/>
    </xf>
    <xf numFmtId="165"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49" fontId="12" fillId="8" borderId="1" xfId="0" applyNumberFormat="1" applyFont="1" applyFill="1" applyBorder="1" applyAlignment="1">
      <alignment horizontal="center" vertical="center" wrapText="1"/>
    </xf>
    <xf numFmtId="0" fontId="12" fillId="8" borderId="1" xfId="0" applyFont="1" applyFill="1" applyBorder="1" applyAlignment="1">
      <alignment horizontal="left" vertical="center"/>
    </xf>
    <xf numFmtId="0" fontId="12" fillId="8" borderId="1" xfId="0" applyFont="1" applyFill="1" applyBorder="1" applyAlignment="1">
      <alignment horizontal="center" vertical="center"/>
    </xf>
    <xf numFmtId="164" fontId="12" fillId="8" borderId="1" xfId="0" applyNumberFormat="1" applyFont="1" applyFill="1" applyBorder="1" applyAlignment="1">
      <alignment horizontal="center" vertical="center"/>
    </xf>
    <xf numFmtId="0" fontId="12" fillId="8" borderId="1" xfId="0" applyFont="1" applyFill="1" applyBorder="1" applyAlignment="1">
      <alignment horizontal="right" vertical="center"/>
    </xf>
    <xf numFmtId="49" fontId="12" fillId="7"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xf>
    <xf numFmtId="164" fontId="13" fillId="3" borderId="1" xfId="0" applyNumberFormat="1" applyFont="1" applyFill="1" applyBorder="1" applyAlignment="1">
      <alignment horizontal="center" vertical="center"/>
    </xf>
    <xf numFmtId="0" fontId="13" fillId="3" borderId="6" xfId="0" applyFont="1" applyFill="1" applyBorder="1" applyAlignment="1">
      <alignment horizontal="right" vertical="center"/>
    </xf>
    <xf numFmtId="0" fontId="13" fillId="3" borderId="3" xfId="0" applyFont="1" applyFill="1" applyBorder="1" applyAlignment="1">
      <alignment horizontal="right" vertical="center"/>
    </xf>
    <xf numFmtId="4" fontId="15" fillId="0" borderId="1" xfId="0" applyNumberFormat="1" applyFont="1" applyFill="1" applyBorder="1" applyAlignment="1">
      <alignment horizontal="center" vertical="center" wrapText="1"/>
    </xf>
    <xf numFmtId="3" fontId="12"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13" fillId="0" borderId="1" xfId="0" applyFont="1" applyFill="1" applyBorder="1" applyAlignment="1">
      <alignment horizontal="center" vertical="center"/>
    </xf>
    <xf numFmtId="3" fontId="15" fillId="0" borderId="1"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6"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Border="1" applyAlignment="1">
      <alignment horizontal="center" vertical="center"/>
    </xf>
    <xf numFmtId="164" fontId="12" fillId="0" borderId="0" xfId="0" applyNumberFormat="1" applyFont="1" applyFill="1" applyAlignment="1">
      <alignment horizontal="center" vertical="center"/>
    </xf>
    <xf numFmtId="164" fontId="12" fillId="0" borderId="0" xfId="0" applyNumberFormat="1" applyFont="1" applyFill="1" applyAlignment="1">
      <alignment horizontal="right" vertical="center"/>
    </xf>
    <xf numFmtId="164" fontId="13" fillId="0" borderId="0" xfId="0" applyNumberFormat="1" applyFont="1" applyFill="1" applyAlignment="1">
      <alignment horizontal="right" vertical="center"/>
    </xf>
    <xf numFmtId="0" fontId="12" fillId="0" borderId="0" xfId="0" applyFont="1" applyFill="1" applyAlignment="1">
      <alignment vertical="center"/>
    </xf>
    <xf numFmtId="0" fontId="12" fillId="0" borderId="0" xfId="0" applyFont="1" applyFill="1" applyAlignment="1">
      <alignment horizontal="left" vertical="center"/>
    </xf>
    <xf numFmtId="49" fontId="12" fillId="0" borderId="0" xfId="0" applyNumberFormat="1" applyFont="1" applyFill="1" applyAlignment="1">
      <alignment horizontal="right" vertical="center"/>
    </xf>
    <xf numFmtId="164" fontId="23" fillId="0" borderId="0" xfId="0" applyNumberFormat="1" applyFont="1" applyFill="1" applyAlignment="1">
      <alignment horizontal="right" vertical="center"/>
    </xf>
    <xf numFmtId="166"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shrinkToFit="1"/>
    </xf>
    <xf numFmtId="0" fontId="15" fillId="7" borderId="1" xfId="0" applyFont="1" applyFill="1" applyBorder="1" applyAlignment="1">
      <alignment horizontal="left" vertical="center" wrapText="1"/>
    </xf>
    <xf numFmtId="0" fontId="15" fillId="7" borderId="7" xfId="0" applyFont="1" applyFill="1" applyBorder="1" applyAlignment="1">
      <alignment horizontal="center" vertical="center" wrapText="1"/>
    </xf>
    <xf numFmtId="0" fontId="9" fillId="7" borderId="1" xfId="0" applyFont="1" applyFill="1" applyBorder="1" applyAlignment="1">
      <alignment horizontal="center" vertical="center" wrapText="1"/>
    </xf>
    <xf numFmtId="165" fontId="9" fillId="7"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right" vertical="center" wrapText="1"/>
    </xf>
    <xf numFmtId="3" fontId="12" fillId="0" borderId="1" xfId="0" applyNumberFormat="1" applyFont="1" applyFill="1" applyBorder="1" applyAlignment="1">
      <alignment horizontal="center" vertical="center"/>
    </xf>
    <xf numFmtId="164" fontId="15" fillId="0" borderId="11" xfId="0" applyNumberFormat="1" applyFont="1" applyFill="1" applyBorder="1" applyAlignment="1">
      <alignment horizontal="right" vertical="center" wrapText="1"/>
    </xf>
    <xf numFmtId="9" fontId="15" fillId="7" borderId="1" xfId="0" quotePrefix="1" applyNumberFormat="1" applyFont="1" applyFill="1" applyBorder="1" applyAlignment="1">
      <alignment horizontal="left" vertical="center" wrapText="1"/>
    </xf>
    <xf numFmtId="0" fontId="15" fillId="7" borderId="3" xfId="0" applyFont="1" applyFill="1" applyBorder="1" applyAlignment="1">
      <alignment horizontal="center" vertical="center" wrapText="1"/>
    </xf>
    <xf numFmtId="0" fontId="15" fillId="7" borderId="1" xfId="0" applyFont="1" applyFill="1" applyBorder="1" applyAlignment="1">
      <alignment horizontal="center" vertical="center" wrapText="1"/>
    </xf>
    <xf numFmtId="164" fontId="15" fillId="5" borderId="2" xfId="0" applyNumberFormat="1" applyFont="1" applyFill="1" applyBorder="1" applyAlignment="1">
      <alignment horizontal="right" vertical="center" wrapText="1"/>
    </xf>
    <xf numFmtId="164" fontId="15" fillId="7"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2" fillId="0" borderId="0" xfId="0" applyFont="1" applyFill="1" applyAlignment="1">
      <alignment vertical="center" wrapText="1"/>
    </xf>
    <xf numFmtId="2" fontId="12" fillId="0" borderId="0" xfId="0" applyNumberFormat="1" applyFont="1" applyFill="1" applyAlignment="1">
      <alignment vertical="center" wrapText="1"/>
    </xf>
    <xf numFmtId="0" fontId="13" fillId="8" borderId="1" xfId="0" applyFont="1" applyFill="1" applyBorder="1" applyAlignment="1">
      <alignment horizontal="right" vertical="center"/>
    </xf>
    <xf numFmtId="0" fontId="13" fillId="0" borderId="1" xfId="0" applyFont="1" applyFill="1" applyBorder="1" applyAlignment="1">
      <alignment vertical="center" wrapText="1"/>
    </xf>
    <xf numFmtId="164" fontId="24"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164" fontId="15" fillId="0" borderId="2" xfId="0" applyNumberFormat="1" applyFont="1" applyFill="1" applyBorder="1" applyAlignment="1">
      <alignment horizontal="right" vertical="center" wrapText="1"/>
    </xf>
    <xf numFmtId="164" fontId="15" fillId="0" borderId="7" xfId="0" applyNumberFormat="1" applyFont="1" applyFill="1" applyBorder="1" applyAlignment="1">
      <alignment horizontal="right" vertical="center" wrapText="1"/>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49" fontId="12" fillId="0" borderId="2"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164" fontId="13" fillId="0" borderId="2" xfId="0" applyNumberFormat="1" applyFont="1" applyFill="1" applyBorder="1" applyAlignment="1">
      <alignment horizontal="right" vertical="center" wrapText="1"/>
    </xf>
    <xf numFmtId="164" fontId="13" fillId="0" borderId="7"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164" fontId="12" fillId="0" borderId="7" xfId="0" applyNumberFormat="1" applyFont="1" applyFill="1" applyBorder="1" applyAlignment="1">
      <alignment horizontal="right" vertical="center" wrapText="1"/>
    </xf>
    <xf numFmtId="164" fontId="14"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2" fillId="5" borderId="1" xfId="0" applyFont="1" applyFill="1" applyBorder="1" applyAlignment="1">
      <alignment vertical="center" wrapText="1"/>
    </xf>
    <xf numFmtId="164" fontId="12" fillId="0" borderId="1"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0" fontId="12" fillId="0" borderId="2" xfId="0" applyFont="1" applyFill="1" applyBorder="1" applyAlignment="1">
      <alignment horizontal="right" vertical="center" wrapText="1"/>
    </xf>
    <xf numFmtId="0" fontId="15" fillId="0" borderId="2" xfId="0" applyFont="1" applyFill="1" applyBorder="1" applyAlignment="1">
      <alignment vertical="center" wrapText="1"/>
    </xf>
    <xf numFmtId="0" fontId="15" fillId="0" borderId="7" xfId="0" applyFont="1" applyFill="1" applyBorder="1" applyAlignment="1">
      <alignment vertical="center" wrapText="1"/>
    </xf>
    <xf numFmtId="0" fontId="15" fillId="0" borderId="2" xfId="0" quotePrefix="1" applyFont="1" applyFill="1" applyBorder="1" applyAlignment="1">
      <alignment vertical="center" wrapText="1"/>
    </xf>
    <xf numFmtId="0" fontId="15" fillId="0" borderId="7" xfId="0" quotePrefix="1" applyFont="1" applyFill="1" applyBorder="1" applyAlignment="1">
      <alignment vertical="center" wrapText="1"/>
    </xf>
    <xf numFmtId="49" fontId="15" fillId="0" borderId="2" xfId="0" applyNumberFormat="1" applyFont="1" applyFill="1" applyBorder="1" applyAlignment="1">
      <alignment horizontal="center" vertical="center" wrapText="1"/>
    </xf>
    <xf numFmtId="9" fontId="15" fillId="0" borderId="2" xfId="0" quotePrefix="1"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64" fontId="15" fillId="0" borderId="2" xfId="0" applyNumberFormat="1" applyFont="1" applyFill="1" applyBorder="1" applyAlignment="1">
      <alignment horizontal="right" vertical="center"/>
    </xf>
    <xf numFmtId="0" fontId="12" fillId="0" borderId="2" xfId="0" applyFont="1" applyFill="1" applyBorder="1" applyAlignment="1">
      <alignment vertical="center" wrapText="1"/>
    </xf>
    <xf numFmtId="0" fontId="12" fillId="0" borderId="7" xfId="0" applyFont="1" applyFill="1" applyBorder="1" applyAlignment="1">
      <alignment vertical="center" wrapText="1"/>
    </xf>
    <xf numFmtId="164" fontId="14" fillId="0" borderId="2" xfId="0" applyNumberFormat="1" applyFont="1" applyFill="1" applyBorder="1" applyAlignment="1">
      <alignment horizontal="right" vertical="center"/>
    </xf>
    <xf numFmtId="0" fontId="12" fillId="7" borderId="1" xfId="0" applyFont="1" applyFill="1" applyBorder="1" applyAlignment="1">
      <alignment vertical="center" wrapText="1"/>
    </xf>
    <xf numFmtId="0" fontId="12" fillId="5" borderId="1" xfId="0" applyFont="1" applyFill="1" applyBorder="1" applyAlignment="1">
      <alignment horizontal="left" vertical="center" wrapText="1"/>
    </xf>
    <xf numFmtId="164" fontId="15" fillId="0" borderId="1" xfId="0" applyNumberFormat="1" applyFont="1" applyFill="1" applyBorder="1" applyAlignment="1">
      <alignment horizontal="right" vertical="center" wrapText="1"/>
    </xf>
    <xf numFmtId="164" fontId="14" fillId="0" borderId="1" xfId="0" applyNumberFormat="1" applyFont="1" applyFill="1" applyBorder="1" applyAlignment="1">
      <alignment horizontal="right" vertical="center" wrapText="1"/>
    </xf>
    <xf numFmtId="0" fontId="12"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quotePrefix="1" applyFont="1" applyFill="1" applyBorder="1" applyAlignment="1">
      <alignment vertical="center" wrapText="1"/>
    </xf>
    <xf numFmtId="49" fontId="12" fillId="0" borderId="1" xfId="0" applyNumberFormat="1" applyFont="1" applyFill="1" applyBorder="1" applyAlignment="1">
      <alignment horizontal="center" vertical="center" wrapText="1"/>
    </xf>
    <xf numFmtId="0" fontId="12" fillId="5" borderId="1" xfId="0" applyFont="1" applyFill="1" applyBorder="1" applyAlignment="1">
      <alignment vertical="center"/>
    </xf>
    <xf numFmtId="0" fontId="1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164" fontId="13" fillId="0" borderId="1" xfId="0" applyNumberFormat="1" applyFont="1" applyFill="1" applyBorder="1" applyAlignment="1">
      <alignment horizontal="right" vertical="center"/>
    </xf>
    <xf numFmtId="49"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right" vertical="center"/>
    </xf>
    <xf numFmtId="164" fontId="12" fillId="0" borderId="1" xfId="0" applyNumberFormat="1" applyFont="1" applyFill="1" applyBorder="1" applyAlignment="1">
      <alignment horizontal="center" vertical="center" wrapText="1"/>
    </xf>
    <xf numFmtId="0" fontId="15" fillId="0" borderId="2" xfId="0" quotePrefix="1" applyFont="1" applyFill="1" applyBorder="1" applyAlignment="1">
      <alignment horizontal="left" vertical="center" wrapText="1"/>
    </xf>
    <xf numFmtId="0" fontId="15" fillId="0" borderId="7" xfId="0" quotePrefix="1" applyFont="1" applyFill="1" applyBorder="1" applyAlignment="1">
      <alignment horizontal="left" vertical="center" wrapText="1"/>
    </xf>
    <xf numFmtId="164" fontId="14" fillId="3" borderId="1" xfId="0" applyNumberFormat="1" applyFont="1" applyFill="1" applyBorder="1" applyAlignment="1">
      <alignment horizontal="right" vertical="center" wrapText="1"/>
    </xf>
    <xf numFmtId="0" fontId="15" fillId="0" borderId="7" xfId="0" applyFont="1" applyFill="1" applyBorder="1" applyAlignment="1">
      <alignment horizontal="center" vertical="center"/>
    </xf>
    <xf numFmtId="0" fontId="15" fillId="0" borderId="1"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5" fillId="0" borderId="1" xfId="0" quotePrefix="1" applyFont="1" applyFill="1" applyBorder="1" applyAlignment="1">
      <alignment vertical="center" wrapText="1"/>
    </xf>
    <xf numFmtId="164" fontId="19" fillId="0" borderId="1" xfId="0" applyNumberFormat="1" applyFont="1" applyFill="1" applyBorder="1" applyAlignment="1">
      <alignment horizontal="right" vertical="center"/>
    </xf>
    <xf numFmtId="0" fontId="15" fillId="0" borderId="8" xfId="0" applyFont="1" applyFill="1" applyBorder="1" applyAlignment="1">
      <alignment vertical="center" wrapText="1"/>
    </xf>
    <xf numFmtId="0" fontId="14" fillId="0" borderId="1" xfId="0" applyNumberFormat="1" applyFont="1" applyFill="1" applyBorder="1" applyAlignment="1">
      <alignment horizontal="center" vertical="center"/>
    </xf>
    <xf numFmtId="168" fontId="15" fillId="0" borderId="1" xfId="1" applyNumberFormat="1" applyFont="1" applyFill="1" applyBorder="1" applyAlignment="1">
      <alignment vertical="center" wrapText="1"/>
    </xf>
    <xf numFmtId="43" fontId="15" fillId="0" borderId="1" xfId="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3" fontId="15" fillId="0" borderId="2" xfId="0" applyNumberFormat="1" applyFont="1" applyFill="1" applyBorder="1" applyAlignment="1">
      <alignment horizontal="center" vertical="center" wrapText="1"/>
    </xf>
    <xf numFmtId="0" fontId="4" fillId="0" borderId="0" xfId="0" applyFont="1" applyFill="1" applyAlignment="1">
      <alignment vertical="center"/>
    </xf>
    <xf numFmtId="0" fontId="26" fillId="0" borderId="0" xfId="0" applyFont="1" applyAlignment="1">
      <alignment vertical="center"/>
    </xf>
    <xf numFmtId="0" fontId="27" fillId="0" borderId="1" xfId="0" applyFont="1" applyFill="1" applyBorder="1" applyAlignment="1">
      <alignment horizontal="left" vertical="center" wrapText="1"/>
    </xf>
    <xf numFmtId="3" fontId="15" fillId="0" borderId="7"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164" fontId="14"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wrapText="1"/>
    </xf>
    <xf numFmtId="164" fontId="15" fillId="0" borderId="7" xfId="0" applyNumberFormat="1" applyFont="1" applyFill="1" applyBorder="1" applyAlignment="1">
      <alignment horizontal="right" vertical="center" wrapText="1"/>
    </xf>
    <xf numFmtId="164" fontId="12" fillId="0" borderId="1"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164" fontId="14" fillId="0" borderId="1" xfId="0" applyNumberFormat="1" applyFont="1" applyFill="1" applyBorder="1" applyAlignment="1">
      <alignment horizontal="right" vertical="center" wrapText="1"/>
    </xf>
    <xf numFmtId="0" fontId="15" fillId="0" borderId="2" xfId="0" quotePrefix="1" applyFont="1" applyFill="1" applyBorder="1" applyAlignment="1">
      <alignment horizontal="left" vertical="center" wrapText="1"/>
    </xf>
    <xf numFmtId="0" fontId="15" fillId="0" borderId="7" xfId="0" quotePrefix="1" applyFont="1" applyFill="1" applyBorder="1" applyAlignment="1">
      <alignment horizontal="left" vertical="center" wrapText="1"/>
    </xf>
    <xf numFmtId="0" fontId="15" fillId="0" borderId="2" xfId="0" applyFont="1" applyFill="1" applyBorder="1" applyAlignment="1">
      <alignment vertical="center" wrapText="1"/>
    </xf>
    <xf numFmtId="0" fontId="15" fillId="0" borderId="7" xfId="0" applyFont="1" applyFill="1" applyBorder="1" applyAlignment="1">
      <alignment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2" fillId="5" borderId="1" xfId="0" applyFont="1" applyFill="1" applyBorder="1" applyAlignment="1">
      <alignment vertical="center" wrapText="1"/>
    </xf>
    <xf numFmtId="0" fontId="15"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5" fillId="0" borderId="1" xfId="0" quotePrefix="1" applyFont="1" applyFill="1" applyBorder="1" applyAlignment="1">
      <alignment vertical="center" wrapText="1"/>
    </xf>
    <xf numFmtId="0" fontId="15"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15" fillId="0" borderId="2" xfId="0" quotePrefix="1" applyFont="1" applyFill="1" applyBorder="1" applyAlignment="1">
      <alignment vertical="center" wrapText="1"/>
    </xf>
    <xf numFmtId="0" fontId="15" fillId="0" borderId="7" xfId="0" quotePrefix="1" applyFont="1" applyFill="1" applyBorder="1" applyAlignment="1">
      <alignment vertical="center"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7" xfId="0" applyFont="1" applyFill="1" applyBorder="1" applyAlignment="1">
      <alignment vertical="center" wrapText="1"/>
    </xf>
    <xf numFmtId="49" fontId="12" fillId="0" borderId="2"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2" fillId="7" borderId="1" xfId="0" applyFont="1" applyFill="1" applyBorder="1" applyAlignment="1">
      <alignmen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vertical="center"/>
    </xf>
    <xf numFmtId="0" fontId="15" fillId="0" borderId="1" xfId="0" applyFont="1" applyFill="1" applyBorder="1" applyAlignment="1">
      <alignment horizontal="center" vertical="center" wrapText="1"/>
    </xf>
    <xf numFmtId="164" fontId="15"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9" fontId="15" fillId="0" borderId="2" xfId="0" quotePrefix="1"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28" fillId="0" borderId="0" xfId="0" applyFont="1"/>
    <xf numFmtId="0" fontId="28" fillId="0" borderId="0" xfId="0" applyFont="1" applyAlignment="1">
      <alignment horizontal="center"/>
    </xf>
    <xf numFmtId="0" fontId="28" fillId="0" borderId="0" xfId="0" applyFont="1" applyAlignment="1"/>
    <xf numFmtId="0" fontId="29" fillId="0" borderId="1" xfId="0" applyFont="1" applyBorder="1" applyAlignment="1">
      <alignment horizontal="center"/>
    </xf>
    <xf numFmtId="0" fontId="28" fillId="0" borderId="1" xfId="0" applyFont="1" applyBorder="1"/>
    <xf numFmtId="0" fontId="28" fillId="0" borderId="1" xfId="0" applyFont="1" applyBorder="1" applyAlignment="1">
      <alignment horizontal="center"/>
    </xf>
    <xf numFmtId="164" fontId="14" fillId="4" borderId="1" xfId="0" applyNumberFormat="1" applyFont="1" applyFill="1" applyBorder="1" applyAlignment="1">
      <alignment horizontal="right" vertical="center" wrapText="1"/>
    </xf>
    <xf numFmtId="164" fontId="23" fillId="9" borderId="1" xfId="0" applyNumberFormat="1" applyFont="1" applyFill="1" applyBorder="1" applyAlignment="1">
      <alignment horizontal="right" vertical="center"/>
    </xf>
    <xf numFmtId="164" fontId="14" fillId="9" borderId="1" xfId="0" applyNumberFormat="1" applyFont="1" applyFill="1" applyBorder="1" applyAlignment="1">
      <alignment horizontal="right" vertical="center" wrapText="1"/>
    </xf>
    <xf numFmtId="164" fontId="14" fillId="9" borderId="2" xfId="0" applyNumberFormat="1" applyFont="1" applyFill="1" applyBorder="1" applyAlignment="1">
      <alignment horizontal="right" vertical="center" wrapText="1"/>
    </xf>
    <xf numFmtId="164" fontId="14" fillId="9" borderId="1" xfId="0" applyNumberFormat="1" applyFont="1" applyFill="1" applyBorder="1" applyAlignment="1">
      <alignment vertical="center" wrapText="1"/>
    </xf>
    <xf numFmtId="164" fontId="10" fillId="9" borderId="0" xfId="0" applyNumberFormat="1" applyFont="1" applyFill="1" applyAlignment="1">
      <alignment horizontal="right" vertical="center"/>
    </xf>
    <xf numFmtId="164" fontId="14" fillId="10" borderId="1" xfId="0" applyNumberFormat="1" applyFont="1" applyFill="1" applyBorder="1" applyAlignment="1">
      <alignment horizontal="right" vertical="center" wrapText="1"/>
    </xf>
    <xf numFmtId="164" fontId="12" fillId="10" borderId="1" xfId="0" applyNumberFormat="1" applyFont="1" applyFill="1" applyBorder="1" applyAlignment="1">
      <alignment horizontal="center" vertical="center"/>
    </xf>
    <xf numFmtId="164" fontId="12" fillId="10" borderId="1" xfId="0" applyNumberFormat="1" applyFont="1" applyFill="1" applyBorder="1" applyAlignment="1">
      <alignment horizontal="right" vertical="center"/>
    </xf>
    <xf numFmtId="164" fontId="13" fillId="10" borderId="1" xfId="0" applyNumberFormat="1" applyFont="1" applyFill="1" applyBorder="1" applyAlignment="1">
      <alignment horizontal="right" vertical="center"/>
    </xf>
    <xf numFmtId="164" fontId="23" fillId="10" borderId="1" xfId="0" applyNumberFormat="1" applyFont="1" applyFill="1" applyBorder="1" applyAlignment="1">
      <alignment horizontal="right"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64" fontId="10" fillId="0" borderId="0" xfId="0" applyNumberFormat="1" applyFont="1" applyFill="1" applyAlignment="1">
      <alignment horizontal="right" vertical="center"/>
    </xf>
    <xf numFmtId="0" fontId="10" fillId="11"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left" vertical="center"/>
    </xf>
    <xf numFmtId="0" fontId="4"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164" fontId="15" fillId="0" borderId="2" xfId="0" applyNumberFormat="1" applyFont="1" applyFill="1" applyBorder="1" applyAlignment="1">
      <alignment horizontal="right" vertical="center" wrapText="1"/>
    </xf>
    <xf numFmtId="164" fontId="14" fillId="0" borderId="2" xfId="0" applyNumberFormat="1" applyFont="1" applyFill="1" applyBorder="1" applyAlignment="1">
      <alignment horizontal="right" vertical="center" wrapText="1"/>
    </xf>
    <xf numFmtId="0" fontId="15" fillId="0" borderId="2" xfId="0" applyFont="1" applyFill="1" applyBorder="1" applyAlignment="1">
      <alignment vertical="center" wrapText="1"/>
    </xf>
    <xf numFmtId="0" fontId="15" fillId="0" borderId="2" xfId="0" quotePrefix="1" applyFont="1" applyFill="1" applyBorder="1" applyAlignment="1">
      <alignment vertical="center" wrapText="1"/>
    </xf>
    <xf numFmtId="49" fontId="15" fillId="0" borderId="2" xfId="0" applyNumberFormat="1" applyFont="1" applyFill="1" applyBorder="1" applyAlignment="1">
      <alignment horizontal="center" vertical="center" wrapText="1"/>
    </xf>
    <xf numFmtId="9" fontId="15" fillId="0" borderId="2" xfId="0" quotePrefix="1"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164" fontId="14" fillId="9" borderId="2" xfId="0" applyNumberFormat="1" applyFont="1" applyFill="1" applyBorder="1" applyAlignment="1">
      <alignment horizontal="right" vertical="center" wrapText="1"/>
    </xf>
    <xf numFmtId="0" fontId="12" fillId="0" borderId="2" xfId="0" applyFont="1" applyFill="1" applyBorder="1" applyAlignment="1">
      <alignment horizontal="center" vertical="center"/>
    </xf>
    <xf numFmtId="164" fontId="15" fillId="0" borderId="2" xfId="0" applyNumberFormat="1" applyFont="1" applyFill="1" applyBorder="1" applyAlignment="1">
      <alignment horizontal="right" vertical="center" wrapText="1"/>
    </xf>
    <xf numFmtId="164" fontId="14" fillId="0" borderId="2" xfId="0" applyNumberFormat="1" applyFont="1" applyFill="1" applyBorder="1" applyAlignment="1">
      <alignment horizontal="right" vertical="center" wrapText="1"/>
    </xf>
    <xf numFmtId="164" fontId="14" fillId="3" borderId="2" xfId="0" applyNumberFormat="1" applyFont="1" applyFill="1" applyBorder="1" applyAlignment="1">
      <alignment horizontal="right" vertical="center" wrapText="1"/>
    </xf>
    <xf numFmtId="164" fontId="15"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left" vertical="center" wrapText="1"/>
    </xf>
    <xf numFmtId="164" fontId="12" fillId="0" borderId="1" xfId="0" applyNumberFormat="1" applyFont="1" applyFill="1" applyBorder="1" applyAlignment="1">
      <alignment horizontal="right" vertical="center" wrapText="1"/>
    </xf>
    <xf numFmtId="164"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164" fontId="14"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49" fontId="15" fillId="0" borderId="2" xfId="0" applyNumberFormat="1"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2" xfId="0" quotePrefix="1" applyFont="1" applyFill="1" applyBorder="1" applyAlignment="1">
      <alignment vertical="center" wrapText="1"/>
    </xf>
    <xf numFmtId="0" fontId="15" fillId="0" borderId="1" xfId="0" quotePrefix="1" applyFont="1" applyFill="1" applyBorder="1" applyAlignment="1">
      <alignment vertical="center" wrapText="1"/>
    </xf>
    <xf numFmtId="0" fontId="15" fillId="0" borderId="1" xfId="0" applyFont="1" applyFill="1" applyBorder="1" applyAlignment="1">
      <alignment horizontal="left" vertical="center" wrapText="1"/>
    </xf>
    <xf numFmtId="49" fontId="12" fillId="0" borderId="2" xfId="0" applyNumberFormat="1" applyFont="1" applyFill="1" applyBorder="1" applyAlignment="1">
      <alignment horizontal="center" vertical="center"/>
    </xf>
    <xf numFmtId="164" fontId="13" fillId="0" borderId="1" xfId="0" applyNumberFormat="1" applyFont="1" applyFill="1" applyBorder="1" applyAlignment="1">
      <alignment horizontal="right" vertical="center" wrapText="1"/>
    </xf>
    <xf numFmtId="0" fontId="17" fillId="0" borderId="1" xfId="0" applyFont="1" applyFill="1" applyBorder="1" applyAlignment="1">
      <alignment horizontal="center" vertical="center" wrapText="1"/>
    </xf>
    <xf numFmtId="9" fontId="15" fillId="0" borderId="2" xfId="0" quotePrefix="1"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2"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vertical="center" wrapText="1"/>
    </xf>
    <xf numFmtId="164" fontId="12" fillId="0" borderId="7"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wrapText="1"/>
    </xf>
    <xf numFmtId="164" fontId="13" fillId="0" borderId="7" xfId="0" applyNumberFormat="1" applyFont="1" applyFill="1" applyBorder="1" applyAlignment="1">
      <alignment horizontal="right" vertical="center" wrapText="1"/>
    </xf>
    <xf numFmtId="164" fontId="14" fillId="9" borderId="2" xfId="0" applyNumberFormat="1" applyFont="1" applyFill="1" applyBorder="1" applyAlignment="1">
      <alignment horizontal="right" vertical="center" wrapText="1"/>
    </xf>
    <xf numFmtId="164" fontId="14" fillId="0" borderId="2"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0" fontId="15" fillId="0" borderId="2" xfId="0" quotePrefix="1" applyFont="1" applyFill="1" applyBorder="1" applyAlignment="1">
      <alignment vertical="center" wrapText="1"/>
    </xf>
    <xf numFmtId="164" fontId="12" fillId="0" borderId="1" xfId="0" applyNumberFormat="1" applyFont="1" applyFill="1" applyBorder="1" applyAlignment="1">
      <alignment horizontal="right" vertical="center"/>
    </xf>
    <xf numFmtId="164" fontId="13" fillId="0" borderId="1" xfId="0" applyNumberFormat="1" applyFont="1" applyFill="1" applyBorder="1" applyAlignment="1">
      <alignment horizontal="right" vertical="center"/>
    </xf>
    <xf numFmtId="0" fontId="12" fillId="0" borderId="2"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49" fontId="12" fillId="0" borderId="7" xfId="0" applyNumberFormat="1" applyFont="1" applyFill="1" applyBorder="1" applyAlignment="1">
      <alignment horizontal="center" vertical="center"/>
    </xf>
    <xf numFmtId="0" fontId="12" fillId="0" borderId="1" xfId="0" applyFont="1" applyFill="1" applyBorder="1" applyAlignment="1">
      <alignment horizontal="center" vertical="center"/>
    </xf>
    <xf numFmtId="164" fontId="15" fillId="0" borderId="1" xfId="0" applyNumberFormat="1" applyFont="1" applyFill="1" applyBorder="1" applyAlignment="1">
      <alignment horizontal="right" vertical="center" wrapText="1"/>
    </xf>
    <xf numFmtId="164" fontId="14" fillId="0"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5" fillId="0" borderId="1" xfId="0" quotePrefix="1" applyFont="1" applyFill="1" applyBorder="1" applyAlignment="1">
      <alignmen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15" fillId="0" borderId="6" xfId="0" applyFont="1" applyFill="1" applyBorder="1" applyAlignment="1">
      <alignment vertical="center" wrapText="1"/>
    </xf>
    <xf numFmtId="0" fontId="14" fillId="0" borderId="6" xfId="0" applyFont="1" applyFill="1" applyBorder="1" applyAlignment="1">
      <alignment vertical="center" wrapText="1"/>
    </xf>
    <xf numFmtId="49" fontId="12" fillId="13" borderId="1" xfId="0" applyNumberFormat="1" applyFont="1" applyFill="1" applyBorder="1" applyAlignment="1">
      <alignment horizontal="center" vertical="center" wrapText="1"/>
    </xf>
    <xf numFmtId="49" fontId="12" fillId="15" borderId="1" xfId="0" applyNumberFormat="1" applyFont="1" applyFill="1" applyBorder="1" applyAlignment="1">
      <alignment horizontal="center" vertical="center" wrapText="1"/>
    </xf>
    <xf numFmtId="49" fontId="15" fillId="15" borderId="1" xfId="0" applyNumberFormat="1" applyFont="1" applyFill="1" applyBorder="1" applyAlignment="1">
      <alignment horizontal="center" vertical="center" wrapText="1"/>
    </xf>
    <xf numFmtId="49" fontId="14" fillId="15" borderId="1" xfId="0" applyNumberFormat="1" applyFont="1" applyFill="1" applyBorder="1" applyAlignment="1">
      <alignment horizontal="center" vertical="center" wrapText="1"/>
    </xf>
    <xf numFmtId="49" fontId="15" fillId="13" borderId="1" xfId="0" applyNumberFormat="1" applyFont="1" applyFill="1" applyBorder="1" applyAlignment="1">
      <alignment horizontal="center" vertical="center" wrapText="1"/>
    </xf>
    <xf numFmtId="0" fontId="12" fillId="13" borderId="1" xfId="0" applyFont="1" applyFill="1" applyBorder="1" applyAlignment="1">
      <alignment horizontal="right" vertical="center" wrapText="1"/>
    </xf>
    <xf numFmtId="0" fontId="13" fillId="13" borderId="1" xfId="0" applyFont="1" applyFill="1" applyBorder="1" applyAlignment="1">
      <alignment horizontal="right" vertical="center" wrapText="1"/>
    </xf>
    <xf numFmtId="0" fontId="13" fillId="14" borderId="1" xfId="0" applyFont="1" applyFill="1" applyBorder="1" applyAlignment="1">
      <alignment horizontal="center" vertical="center" wrapText="1"/>
    </xf>
    <xf numFmtId="0" fontId="13" fillId="14" borderId="11" xfId="0" applyFont="1" applyFill="1" applyBorder="1" applyAlignment="1">
      <alignment vertical="center"/>
    </xf>
    <xf numFmtId="0" fontId="13" fillId="14" borderId="12" xfId="0" applyFont="1" applyFill="1" applyBorder="1" applyAlignment="1">
      <alignment vertical="center"/>
    </xf>
    <xf numFmtId="0" fontId="13" fillId="14" borderId="14" xfId="0" applyFont="1" applyFill="1" applyBorder="1" applyAlignment="1">
      <alignment vertical="center"/>
    </xf>
    <xf numFmtId="0" fontId="13" fillId="14" borderId="2"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1" xfId="0" applyFont="1" applyFill="1" applyBorder="1" applyAlignment="1">
      <alignment horizontal="center" vertical="center"/>
    </xf>
    <xf numFmtId="0" fontId="12" fillId="14" borderId="1" xfId="0" applyFont="1" applyFill="1" applyBorder="1" applyAlignment="1">
      <alignment horizontal="left" vertical="center" wrapText="1"/>
    </xf>
    <xf numFmtId="164" fontId="12" fillId="14"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49" fontId="12" fillId="0" borderId="2" xfId="0"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164" fontId="13" fillId="0" borderId="1"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164" fontId="14"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69" fontId="15" fillId="0" borderId="1" xfId="0" applyNumberFormat="1" applyFont="1" applyFill="1" applyBorder="1" applyAlignment="1">
      <alignment horizontal="center" vertical="center" wrapText="1"/>
    </xf>
    <xf numFmtId="164" fontId="14" fillId="0" borderId="2" xfId="0" applyNumberFormat="1" applyFont="1" applyFill="1" applyBorder="1" applyAlignment="1">
      <alignment horizontal="right" vertical="center" wrapText="1"/>
    </xf>
    <xf numFmtId="0" fontId="12" fillId="0" borderId="2" xfId="0" applyFont="1" applyFill="1" applyBorder="1" applyAlignment="1">
      <alignment horizontal="center" vertical="center"/>
    </xf>
    <xf numFmtId="164" fontId="15" fillId="0" borderId="2"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left" vertical="center" wrapText="1"/>
    </xf>
    <xf numFmtId="164" fontId="12"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7" xfId="0" applyFont="1" applyFill="1" applyBorder="1" applyAlignment="1">
      <alignment vertical="center" wrapText="1"/>
    </xf>
    <xf numFmtId="164" fontId="15" fillId="0" borderId="2" xfId="0" applyNumberFormat="1" applyFont="1" applyFill="1" applyBorder="1" applyAlignment="1">
      <alignment horizontal="right" vertical="center"/>
    </xf>
    <xf numFmtId="164" fontId="14" fillId="0" borderId="2" xfId="0" applyNumberFormat="1" applyFont="1" applyFill="1" applyBorder="1" applyAlignment="1">
      <alignment horizontal="right" vertical="center"/>
    </xf>
    <xf numFmtId="164" fontId="14" fillId="0" borderId="1" xfId="0" applyNumberFormat="1" applyFont="1" applyFill="1" applyBorder="1" applyAlignment="1">
      <alignment horizontal="right" vertical="center" wrapText="1"/>
    </xf>
    <xf numFmtId="0" fontId="12" fillId="0" borderId="7"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164" fontId="15" fillId="0" borderId="1"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2" fontId="15" fillId="0" borderId="1" xfId="0" applyNumberFormat="1" applyFont="1" applyFill="1" applyBorder="1" applyAlignment="1">
      <alignment horizontal="right" vertical="center" wrapText="1"/>
    </xf>
    <xf numFmtId="164" fontId="15" fillId="0" borderId="2" xfId="0" applyNumberFormat="1" applyFont="1" applyFill="1" applyBorder="1" applyAlignment="1">
      <alignment vertical="center" wrapText="1"/>
    </xf>
    <xf numFmtId="164" fontId="14" fillId="0" borderId="2" xfId="0" applyNumberFormat="1" applyFont="1" applyFill="1" applyBorder="1" applyAlignment="1">
      <alignment vertical="center" wrapText="1"/>
    </xf>
    <xf numFmtId="0" fontId="5" fillId="0" borderId="0" xfId="0" applyFont="1" applyFill="1" applyAlignment="1">
      <alignment horizontal="center" vertical="center"/>
    </xf>
    <xf numFmtId="0" fontId="4" fillId="0" borderId="0" xfId="0" applyFont="1" applyFill="1" applyAlignment="1">
      <alignment horizontal="center"/>
    </xf>
    <xf numFmtId="164" fontId="10" fillId="0" borderId="0" xfId="0" applyNumberFormat="1" applyFont="1" applyFill="1" applyAlignment="1">
      <alignment horizontal="right" vertical="center"/>
    </xf>
    <xf numFmtId="0" fontId="12" fillId="0" borderId="2" xfId="0" applyFont="1" applyFill="1" applyBorder="1" applyAlignment="1">
      <alignment horizontal="center" vertical="center" wrapText="1"/>
    </xf>
    <xf numFmtId="164" fontId="14"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0" fontId="12" fillId="0" borderId="1" xfId="0" applyFont="1" applyFill="1" applyBorder="1" applyAlignment="1">
      <alignment vertical="center" wrapText="1"/>
    </xf>
    <xf numFmtId="164" fontId="12" fillId="0" borderId="1" xfId="0" applyNumberFormat="1" applyFont="1" applyFill="1" applyBorder="1" applyAlignment="1">
      <alignment horizontal="right"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164" fontId="13"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164" fontId="14" fillId="9" borderId="1" xfId="0" applyNumberFormat="1" applyFont="1" applyFill="1" applyBorder="1" applyAlignment="1">
      <alignment horizontal="right" vertical="center" wrapText="1"/>
    </xf>
    <xf numFmtId="164" fontId="31" fillId="0" borderId="0" xfId="0" applyNumberFormat="1" applyFont="1" applyFill="1" applyAlignment="1">
      <alignment horizontal="right" vertical="center"/>
    </xf>
    <xf numFmtId="0" fontId="32" fillId="0" borderId="0" xfId="0" applyFont="1" applyFill="1" applyBorder="1" applyAlignment="1">
      <alignment horizontal="left" vertical="center"/>
    </xf>
    <xf numFmtId="164" fontId="15" fillId="0" borderId="1" xfId="0" applyNumberFormat="1" applyFont="1" applyFill="1" applyBorder="1" applyAlignment="1">
      <alignment horizontal="left" vertical="center" wrapText="1"/>
    </xf>
    <xf numFmtId="0" fontId="6" fillId="0" borderId="1" xfId="0" applyFont="1" applyFill="1" applyBorder="1" applyAlignment="1">
      <alignment horizontal="left"/>
    </xf>
    <xf numFmtId="0" fontId="15" fillId="0" borderId="1" xfId="0" applyFont="1" applyFill="1" applyBorder="1" applyAlignment="1">
      <alignment horizontal="left"/>
    </xf>
    <xf numFmtId="2" fontId="15" fillId="0" borderId="1" xfId="2" applyNumberFormat="1" applyFont="1" applyFill="1" applyBorder="1" applyAlignment="1">
      <alignment horizontal="left" vertical="center" wrapText="1"/>
    </xf>
    <xf numFmtId="0" fontId="4" fillId="0" borderId="1" xfId="0" applyFont="1" applyFill="1" applyBorder="1" applyAlignment="1">
      <alignment horizontal="left"/>
    </xf>
    <xf numFmtId="0" fontId="4" fillId="0" borderId="1" xfId="0" applyFont="1" applyFill="1" applyBorder="1" applyAlignment="1">
      <alignment horizontal="left" vertical="center"/>
    </xf>
    <xf numFmtId="0" fontId="14" fillId="0" borderId="1" xfId="0" applyFont="1" applyFill="1" applyBorder="1" applyAlignment="1">
      <alignment horizontal="left" vertical="center"/>
    </xf>
    <xf numFmtId="1" fontId="15" fillId="0" borderId="1" xfId="0" applyNumberFormat="1" applyFont="1" applyFill="1" applyBorder="1" applyAlignment="1">
      <alignment horizontal="left" vertical="center" wrapText="1"/>
    </xf>
    <xf numFmtId="43" fontId="15" fillId="0" borderId="1" xfId="1" applyFont="1" applyFill="1" applyBorder="1" applyAlignment="1">
      <alignment horizontal="left" vertical="center" wrapText="1"/>
    </xf>
    <xf numFmtId="0" fontId="10" fillId="11" borderId="0" xfId="0" applyFont="1" applyFill="1" applyAlignment="1">
      <alignment horizontal="left" vertical="center"/>
    </xf>
    <xf numFmtId="165" fontId="15" fillId="0" borderId="1" xfId="0" applyNumberFormat="1" applyFont="1" applyFill="1" applyBorder="1" applyAlignment="1">
      <alignment horizontal="center" vertical="center"/>
    </xf>
    <xf numFmtId="164" fontId="12"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vertical="center" wrapText="1"/>
    </xf>
    <xf numFmtId="0" fontId="15" fillId="0" borderId="1" xfId="0" applyFont="1" applyFill="1" applyBorder="1" applyAlignment="1">
      <alignment vertical="center" wrapText="1"/>
    </xf>
    <xf numFmtId="164" fontId="14"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49" fontId="15" fillId="0" borderId="2"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quotePrefix="1" applyFont="1" applyFill="1" applyBorder="1" applyAlignment="1">
      <alignment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64" fontId="13"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wrapText="1"/>
    </xf>
    <xf numFmtId="165" fontId="15"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7" xfId="0" applyFont="1" applyFill="1" applyBorder="1" applyAlignment="1">
      <alignment horizontal="left" vertical="center" wrapText="1"/>
    </xf>
    <xf numFmtId="164" fontId="13" fillId="0" borderId="1" xfId="0" applyNumberFormat="1" applyFont="1" applyFill="1" applyBorder="1" applyAlignment="1">
      <alignment horizontal="right"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vertical="center" wrapText="1"/>
    </xf>
    <xf numFmtId="164" fontId="12" fillId="0" borderId="7"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xf>
    <xf numFmtId="164" fontId="15" fillId="0" borderId="2" xfId="0" applyNumberFormat="1" applyFont="1" applyFill="1" applyBorder="1" applyAlignment="1">
      <alignment horizontal="right" vertical="center" wrapText="1"/>
    </xf>
    <xf numFmtId="164" fontId="13" fillId="0" borderId="7" xfId="0" applyNumberFormat="1" applyFont="1" applyFill="1" applyBorder="1" applyAlignment="1">
      <alignment horizontal="right" vertical="center" wrapText="1"/>
    </xf>
    <xf numFmtId="49" fontId="15" fillId="0" borderId="2" xfId="0" applyNumberFormat="1" applyFont="1" applyFill="1" applyBorder="1" applyAlignment="1">
      <alignment horizontal="center" vertical="center" wrapText="1"/>
    </xf>
    <xf numFmtId="164" fontId="14" fillId="0" borderId="2" xfId="0" applyNumberFormat="1" applyFont="1" applyFill="1" applyBorder="1" applyAlignment="1">
      <alignment horizontal="right" vertical="center" wrapText="1"/>
    </xf>
    <xf numFmtId="164" fontId="14" fillId="9" borderId="1"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0" fontId="15" fillId="0" borderId="2" xfId="0" quotePrefix="1" applyFont="1" applyFill="1" applyBorder="1" applyAlignment="1">
      <alignment vertical="center" wrapText="1"/>
    </xf>
    <xf numFmtId="164" fontId="13" fillId="0" borderId="1" xfId="0" applyNumberFormat="1" applyFont="1" applyFill="1" applyBorder="1" applyAlignment="1">
      <alignment horizontal="right" vertical="center" wrapText="1"/>
    </xf>
    <xf numFmtId="9" fontId="15" fillId="0" borderId="2" xfId="0" quotePrefix="1" applyNumberFormat="1" applyFont="1" applyFill="1" applyBorder="1" applyAlignment="1">
      <alignment horizontal="center" vertical="center" wrapText="1"/>
    </xf>
    <xf numFmtId="0" fontId="15" fillId="0" borderId="7"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vertical="center" wrapText="1"/>
    </xf>
    <xf numFmtId="49" fontId="12" fillId="0" borderId="2"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164" fontId="14"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5" fillId="0" borderId="1" xfId="0" quotePrefix="1" applyFont="1" applyFill="1" applyBorder="1" applyAlignment="1">
      <alignment vertical="center" wrapText="1"/>
    </xf>
    <xf numFmtId="0" fontId="15" fillId="0" borderId="1" xfId="0" applyFont="1" applyFill="1" applyBorder="1" applyAlignment="1">
      <alignment vertical="center" wrapText="1"/>
    </xf>
    <xf numFmtId="49" fontId="15"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5" fillId="0" borderId="1" xfId="2" applyFont="1" applyFill="1" applyBorder="1" applyAlignment="1">
      <alignment horizontal="left" vertical="center" wrapText="1"/>
    </xf>
    <xf numFmtId="0" fontId="4" fillId="0" borderId="1" xfId="0" applyFont="1" applyFill="1" applyBorder="1" applyAlignment="1">
      <alignment horizontal="left" wrapText="1"/>
    </xf>
    <xf numFmtId="164" fontId="12" fillId="0" borderId="1"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35" fillId="0" borderId="1" xfId="0" applyFont="1" applyFill="1" applyBorder="1" applyAlignment="1">
      <alignment horizontal="left" vertical="center" wrapText="1"/>
    </xf>
    <xf numFmtId="0" fontId="15" fillId="0" borderId="1" xfId="0" applyFont="1" applyFill="1" applyBorder="1" applyAlignment="1">
      <alignment vertical="center"/>
    </xf>
    <xf numFmtId="0" fontId="15"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2" xfId="0" applyFont="1" applyFill="1" applyBorder="1" applyAlignment="1">
      <alignment horizontal="left" vertical="center"/>
    </xf>
    <xf numFmtId="0" fontId="12" fillId="0" borderId="4" xfId="0" applyFont="1" applyFill="1" applyBorder="1" applyAlignment="1">
      <alignment horizontal="left" vertical="center"/>
    </xf>
    <xf numFmtId="0" fontId="12" fillId="0" borderId="7"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5" fillId="0" borderId="4" xfId="0" applyFont="1" applyFill="1" applyBorder="1" applyAlignment="1">
      <alignment horizontal="left" vertical="center" wrapText="1"/>
    </xf>
    <xf numFmtId="164" fontId="12" fillId="0" borderId="1" xfId="0" applyNumberFormat="1" applyFont="1" applyFill="1" applyBorder="1" applyAlignment="1">
      <alignment horizontal="left" vertical="center"/>
    </xf>
    <xf numFmtId="0" fontId="15"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4" fillId="0" borderId="7" xfId="0" applyFont="1" applyFill="1" applyBorder="1" applyAlignment="1">
      <alignment horizontal="left"/>
    </xf>
    <xf numFmtId="165" fontId="15" fillId="0" borderId="2"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1" fontId="15" fillId="0" borderId="2" xfId="0" applyNumberFormat="1" applyFont="1" applyFill="1" applyBorder="1" applyAlignment="1">
      <alignment horizontal="left" vertical="center" wrapText="1"/>
    </xf>
    <xf numFmtId="1" fontId="15" fillId="0" borderId="7" xfId="0"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left" wrapText="1"/>
    </xf>
    <xf numFmtId="0" fontId="12" fillId="0" borderId="1" xfId="0" applyFont="1" applyFill="1" applyBorder="1" applyAlignment="1">
      <alignment horizontal="center" wrapText="1"/>
    </xf>
    <xf numFmtId="0" fontId="12" fillId="0" borderId="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left" vertical="center" wrapText="1"/>
    </xf>
    <xf numFmtId="164" fontId="12" fillId="0" borderId="7" xfId="0" applyNumberFormat="1" applyFont="1" applyFill="1" applyBorder="1" applyAlignment="1">
      <alignment horizontal="left" vertical="center" wrapText="1"/>
    </xf>
    <xf numFmtId="0" fontId="15" fillId="0" borderId="1" xfId="0" applyFont="1" applyFill="1" applyBorder="1" applyAlignment="1">
      <alignment vertical="center" wrapText="1"/>
    </xf>
    <xf numFmtId="0" fontId="12" fillId="0" borderId="7"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xf>
    <xf numFmtId="164" fontId="15" fillId="0" borderId="1"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0" fillId="16" borderId="0" xfId="0" applyFont="1" applyFill="1" applyAlignment="1">
      <alignment horizontal="left" vertical="center"/>
    </xf>
    <xf numFmtId="164" fontId="15" fillId="16" borderId="1" xfId="0" applyNumberFormat="1" applyFont="1" applyFill="1" applyBorder="1" applyAlignment="1">
      <alignment horizontal="left" vertical="center" wrapText="1"/>
    </xf>
    <xf numFmtId="0" fontId="15" fillId="16" borderId="1" xfId="0" applyFont="1" applyFill="1" applyBorder="1" applyAlignment="1">
      <alignment horizontal="left" vertical="center" wrapText="1"/>
    </xf>
    <xf numFmtId="0" fontId="6" fillId="16" borderId="1" xfId="0" applyFont="1" applyFill="1" applyBorder="1" applyAlignment="1">
      <alignment horizontal="left"/>
    </xf>
    <xf numFmtId="0" fontId="15" fillId="16" borderId="1" xfId="0" applyFont="1" applyFill="1" applyBorder="1" applyAlignment="1">
      <alignment horizontal="left" vertical="center"/>
    </xf>
    <xf numFmtId="0" fontId="15" fillId="16" borderId="1" xfId="0" applyFont="1" applyFill="1" applyBorder="1" applyAlignment="1">
      <alignment horizontal="left"/>
    </xf>
    <xf numFmtId="2" fontId="15" fillId="16" borderId="1" xfId="2" applyNumberFormat="1" applyFont="1" applyFill="1" applyBorder="1" applyAlignment="1">
      <alignment horizontal="left" vertical="center" wrapText="1"/>
    </xf>
    <xf numFmtId="0" fontId="4" fillId="16" borderId="1" xfId="0" applyFont="1" applyFill="1" applyBorder="1" applyAlignment="1">
      <alignment horizontal="left"/>
    </xf>
    <xf numFmtId="0" fontId="12" fillId="16" borderId="1" xfId="0" applyFont="1" applyFill="1" applyBorder="1" applyAlignment="1">
      <alignment horizontal="left" vertical="center" wrapText="1"/>
    </xf>
    <xf numFmtId="0" fontId="12" fillId="16" borderId="1" xfId="0" applyFont="1" applyFill="1" applyBorder="1" applyAlignment="1">
      <alignment horizontal="left" vertical="center"/>
    </xf>
    <xf numFmtId="0" fontId="15" fillId="16" borderId="1" xfId="2" applyFont="1" applyFill="1" applyBorder="1" applyAlignment="1">
      <alignment horizontal="left" vertical="center" wrapText="1"/>
    </xf>
    <xf numFmtId="0" fontId="4" fillId="16" borderId="1" xfId="0" applyFont="1" applyFill="1" applyBorder="1" applyAlignment="1">
      <alignment horizontal="left" vertical="center"/>
    </xf>
    <xf numFmtId="49" fontId="12" fillId="16" borderId="1" xfId="0" applyNumberFormat="1" applyFont="1" applyFill="1" applyBorder="1" applyAlignment="1">
      <alignment horizontal="left" vertical="center" wrapText="1"/>
    </xf>
    <xf numFmtId="0" fontId="14" fillId="16" borderId="1" xfId="0" applyFont="1" applyFill="1" applyBorder="1" applyAlignment="1">
      <alignment horizontal="left" vertical="center"/>
    </xf>
    <xf numFmtId="1" fontId="15" fillId="16" borderId="1" xfId="0" applyNumberFormat="1" applyFont="1" applyFill="1" applyBorder="1" applyAlignment="1">
      <alignment horizontal="left" vertical="center" wrapText="1"/>
    </xf>
    <xf numFmtId="43" fontId="15" fillId="16" borderId="1" xfId="1" applyFont="1" applyFill="1" applyBorder="1" applyAlignment="1">
      <alignment horizontal="left" vertical="center" wrapText="1"/>
    </xf>
    <xf numFmtId="0" fontId="35" fillId="16" borderId="1" xfId="0" applyFont="1" applyFill="1" applyBorder="1" applyAlignment="1">
      <alignment horizontal="left" vertical="center" wrapText="1"/>
    </xf>
    <xf numFmtId="0" fontId="4" fillId="16" borderId="1" xfId="0" applyFont="1" applyFill="1" applyBorder="1" applyAlignment="1">
      <alignment horizontal="left" wrapText="1"/>
    </xf>
    <xf numFmtId="0" fontId="12" fillId="0" borderId="1" xfId="0" applyFont="1" applyFill="1" applyBorder="1" applyAlignment="1">
      <alignment horizontal="left"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 fontId="12" fillId="0" borderId="1" xfId="0" applyNumberFormat="1" applyFont="1" applyFill="1" applyBorder="1" applyAlignment="1">
      <alignment horizontal="left" vertical="center" wrapText="1"/>
    </xf>
    <xf numFmtId="0" fontId="12" fillId="0" borderId="7" xfId="0" applyFont="1" applyFill="1" applyBorder="1" applyAlignment="1">
      <alignmen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vertical="center" wrapText="1"/>
    </xf>
    <xf numFmtId="0" fontId="12" fillId="15" borderId="3" xfId="0" applyFont="1" applyFill="1" applyBorder="1" applyAlignment="1">
      <alignment horizontal="left" vertical="center"/>
    </xf>
    <xf numFmtId="164" fontId="12" fillId="0" borderId="7" xfId="0" applyNumberFormat="1" applyFont="1" applyFill="1" applyBorder="1" applyAlignment="1">
      <alignment horizontal="left" vertical="center" wrapText="1"/>
    </xf>
    <xf numFmtId="0" fontId="12" fillId="0" borderId="1" xfId="0" applyFont="1" applyFill="1" applyBorder="1" applyAlignment="1">
      <alignment vertical="center"/>
    </xf>
    <xf numFmtId="0" fontId="6" fillId="0" borderId="1" xfId="0" applyFont="1" applyFill="1" applyBorder="1" applyAlignment="1">
      <alignment horizontal="left" vertical="center"/>
    </xf>
    <xf numFmtId="0" fontId="12" fillId="11" borderId="0" xfId="0" applyFont="1" applyFill="1" applyAlignment="1">
      <alignment horizontal="left" vertical="center"/>
    </xf>
    <xf numFmtId="0" fontId="13" fillId="0" borderId="0" xfId="0" applyFont="1" applyFill="1" applyBorder="1" applyAlignment="1">
      <alignment horizontal="left" vertical="center"/>
    </xf>
    <xf numFmtId="0" fontId="12" fillId="0" borderId="1" xfId="0" applyFont="1" applyFill="1" applyBorder="1" applyAlignment="1">
      <alignment horizontal="left"/>
    </xf>
    <xf numFmtId="0" fontId="12" fillId="11"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39" fillId="0" borderId="7" xfId="0" applyFont="1" applyFill="1" applyBorder="1" applyAlignment="1">
      <alignment vertical="center" wrapText="1"/>
    </xf>
    <xf numFmtId="0" fontId="10" fillId="12" borderId="0" xfId="0" applyFont="1" applyFill="1" applyAlignment="1">
      <alignment horizontal="center" vertical="center"/>
    </xf>
    <xf numFmtId="164" fontId="15" fillId="12" borderId="1" xfId="0" applyNumberFormat="1" applyFont="1" applyFill="1" applyBorder="1" applyAlignment="1">
      <alignment horizontal="center" vertical="center" wrapText="1"/>
    </xf>
    <xf numFmtId="0" fontId="15" fillId="12"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165" fontId="15" fillId="12" borderId="1" xfId="0" applyNumberFormat="1" applyFont="1" applyFill="1" applyBorder="1" applyAlignment="1">
      <alignment horizontal="center" vertical="center"/>
    </xf>
    <xf numFmtId="0" fontId="15" fillId="12" borderId="1" xfId="0" applyNumberFormat="1" applyFont="1" applyFill="1" applyBorder="1" applyAlignment="1">
      <alignment horizontal="center" vertical="center"/>
    </xf>
    <xf numFmtId="0" fontId="9" fillId="12" borderId="1" xfId="0" applyFont="1" applyFill="1" applyBorder="1" applyAlignment="1">
      <alignment horizontal="center" vertical="center" wrapText="1"/>
    </xf>
    <xf numFmtId="2" fontId="15" fillId="12" borderId="1" xfId="2" applyNumberFormat="1" applyFont="1" applyFill="1" applyBorder="1" applyAlignment="1">
      <alignment horizontal="center" vertical="center" wrapText="1"/>
    </xf>
    <xf numFmtId="165" fontId="15" fillId="12" borderId="1" xfId="3" applyNumberFormat="1" applyFont="1" applyFill="1" applyBorder="1" applyAlignment="1">
      <alignment horizontal="center" vertical="center" wrapText="1"/>
    </xf>
    <xf numFmtId="165" fontId="15" fillId="12" borderId="1" xfId="2" applyNumberFormat="1" applyFont="1" applyFill="1" applyBorder="1" applyAlignment="1">
      <alignment horizontal="center" vertical="center" wrapText="1"/>
    </xf>
    <xf numFmtId="165" fontId="9" fillId="12" borderId="1" xfId="0" applyNumberFormat="1" applyFont="1" applyFill="1" applyBorder="1" applyAlignment="1">
      <alignment horizontal="center" vertical="center" wrapText="1"/>
    </xf>
    <xf numFmtId="3" fontId="15" fillId="12" borderId="1" xfId="0" applyNumberFormat="1" applyFont="1" applyFill="1" applyBorder="1" applyAlignment="1">
      <alignment horizontal="center" vertical="center"/>
    </xf>
    <xf numFmtId="3" fontId="15" fillId="12" borderId="1" xfId="0" applyNumberFormat="1" applyFont="1" applyFill="1" applyBorder="1" applyAlignment="1">
      <alignment horizontal="center" vertical="center" wrapText="1"/>
    </xf>
    <xf numFmtId="0" fontId="15" fillId="12" borderId="1" xfId="0" applyFont="1" applyFill="1" applyBorder="1" applyAlignment="1">
      <alignment horizontal="center" vertical="center"/>
    </xf>
    <xf numFmtId="1" fontId="15" fillId="12" borderId="1" xfId="0" applyNumberFormat="1" applyFont="1" applyFill="1" applyBorder="1" applyAlignment="1">
      <alignment horizontal="center" vertical="center" wrapText="1"/>
    </xf>
    <xf numFmtId="2" fontId="15" fillId="12" borderId="1" xfId="0"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165" fontId="12" fillId="12" borderId="1" xfId="0" applyNumberFormat="1" applyFont="1" applyFill="1" applyBorder="1" applyAlignment="1">
      <alignment horizontal="center" vertical="center" wrapText="1"/>
    </xf>
    <xf numFmtId="3" fontId="12" fillId="12"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xf>
    <xf numFmtId="169" fontId="15" fillId="12" borderId="1" xfId="0" applyNumberFormat="1" applyFont="1" applyFill="1" applyBorder="1" applyAlignment="1">
      <alignment horizontal="center" vertical="center" wrapText="1"/>
    </xf>
    <xf numFmtId="43" fontId="15" fillId="12" borderId="1" xfId="1" applyFont="1" applyFill="1" applyBorder="1" applyAlignment="1">
      <alignment horizontal="center" vertical="center" wrapText="1"/>
    </xf>
    <xf numFmtId="165" fontId="12" fillId="12" borderId="1" xfId="0" applyNumberFormat="1" applyFont="1" applyFill="1" applyBorder="1" applyAlignment="1">
      <alignment horizontal="center" vertical="center"/>
    </xf>
    <xf numFmtId="3" fontId="12" fillId="12" borderId="1" xfId="0" applyNumberFormat="1" applyFont="1" applyFill="1" applyBorder="1" applyAlignment="1">
      <alignment horizontal="center" vertical="center"/>
    </xf>
    <xf numFmtId="1" fontId="12" fillId="12" borderId="1" xfId="0" applyNumberFormat="1" applyFont="1" applyFill="1" applyBorder="1" applyAlignment="1">
      <alignment horizontal="center" vertical="center"/>
    </xf>
    <xf numFmtId="164" fontId="12" fillId="12" borderId="1" xfId="0" applyNumberFormat="1" applyFont="1" applyFill="1" applyBorder="1" applyAlignment="1">
      <alignment horizontal="center" vertical="center"/>
    </xf>
    <xf numFmtId="0" fontId="12" fillId="12" borderId="1" xfId="0" applyFont="1" applyFill="1" applyBorder="1" applyAlignment="1">
      <alignment vertical="center" wrapText="1"/>
    </xf>
    <xf numFmtId="4" fontId="15" fillId="12" borderId="1" xfId="0" applyNumberFormat="1" applyFont="1" applyFill="1" applyBorder="1" applyAlignment="1">
      <alignment horizontal="center" vertical="center" wrapText="1"/>
    </xf>
    <xf numFmtId="0" fontId="15" fillId="0" borderId="7" xfId="0" quotePrefix="1"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5" fillId="9" borderId="1" xfId="2"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2" xfId="0" applyFont="1" applyFill="1" applyBorder="1" applyAlignment="1">
      <alignment horizontal="center" vertical="center" wrapText="1"/>
    </xf>
    <xf numFmtId="49" fontId="12" fillId="0" borderId="7" xfId="0" applyNumberFormat="1" applyFont="1" applyFill="1" applyBorder="1" applyAlignment="1">
      <alignment horizontal="center" vertical="center"/>
    </xf>
    <xf numFmtId="0" fontId="15" fillId="0" borderId="2" xfId="0" quotePrefix="1" applyFont="1" applyFill="1" applyBorder="1" applyAlignment="1">
      <alignment vertical="center" wrapText="1"/>
    </xf>
    <xf numFmtId="0" fontId="15" fillId="0" borderId="2" xfId="0" quotePrefix="1" applyFont="1" applyFill="1" applyBorder="1" applyAlignment="1">
      <alignment horizontal="left" vertical="center" wrapText="1"/>
    </xf>
    <xf numFmtId="0" fontId="15" fillId="0" borderId="1" xfId="0" applyFont="1" applyFill="1" applyBorder="1" applyAlignment="1">
      <alignment vertical="center" wrapText="1"/>
    </xf>
    <xf numFmtId="0" fontId="12" fillId="0" borderId="2" xfId="0" applyFont="1" applyFill="1" applyBorder="1" applyAlignment="1">
      <alignment vertical="center" wrapText="1"/>
    </xf>
    <xf numFmtId="0" fontId="12" fillId="0" borderId="7" xfId="0" applyFont="1" applyFill="1" applyBorder="1" applyAlignment="1">
      <alignment vertical="center" wrapText="1"/>
    </xf>
    <xf numFmtId="0" fontId="15" fillId="0" borderId="1" xfId="0" applyFont="1" applyFill="1" applyBorder="1" applyAlignment="1">
      <alignment horizontal="left" vertical="center" wrapText="1"/>
    </xf>
    <xf numFmtId="49" fontId="15" fillId="0" borderId="2" xfId="0" applyNumberFormat="1" applyFont="1" applyFill="1" applyBorder="1" applyAlignment="1">
      <alignment horizontal="center" vertical="center" wrapText="1"/>
    </xf>
    <xf numFmtId="164" fontId="14" fillId="0" borderId="2" xfId="0" applyNumberFormat="1" applyFont="1" applyFill="1" applyBorder="1" applyAlignment="1">
      <alignment horizontal="right" vertical="center" wrapText="1"/>
    </xf>
    <xf numFmtId="164" fontId="10" fillId="0" borderId="0" xfId="0" applyNumberFormat="1" applyFont="1" applyFill="1" applyAlignment="1">
      <alignment horizontal="right" vertical="center"/>
    </xf>
    <xf numFmtId="164" fontId="15" fillId="0" borderId="2"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164" fontId="14" fillId="0" borderId="1" xfId="0" applyNumberFormat="1" applyFont="1" applyFill="1" applyBorder="1" applyAlignment="1">
      <alignment horizontal="right" vertical="center" wrapText="1"/>
    </xf>
    <xf numFmtId="164" fontId="15" fillId="0" borderId="1" xfId="0" applyNumberFormat="1" applyFont="1" applyFill="1" applyBorder="1" applyAlignment="1">
      <alignment horizontal="right" vertical="center" wrapText="1"/>
    </xf>
    <xf numFmtId="49" fontId="15"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right" vertical="center" wrapText="1"/>
    </xf>
    <xf numFmtId="0" fontId="15" fillId="0" borderId="1" xfId="0" quotePrefix="1" applyFont="1" applyFill="1" applyBorder="1" applyAlignment="1">
      <alignment vertical="center" wrapText="1"/>
    </xf>
    <xf numFmtId="164" fontId="12" fillId="0" borderId="1" xfId="0" applyNumberFormat="1" applyFont="1" applyFill="1" applyBorder="1" applyAlignment="1">
      <alignment horizontal="right" vertical="center"/>
    </xf>
    <xf numFmtId="164" fontId="13" fillId="0" borderId="1" xfId="0" applyNumberFormat="1" applyFont="1" applyFill="1" applyBorder="1" applyAlignment="1">
      <alignment horizontal="right"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9" fontId="15" fillId="0" borderId="2" xfId="0" quotePrefix="1" applyNumberFormat="1" applyFont="1" applyFill="1" applyBorder="1" applyAlignment="1">
      <alignment horizontal="center" vertical="center" wrapText="1"/>
    </xf>
    <xf numFmtId="0" fontId="12" fillId="12" borderId="1" xfId="0" applyFont="1" applyFill="1" applyBorder="1" applyAlignment="1">
      <alignment horizontal="center" vertical="center"/>
    </xf>
    <xf numFmtId="0" fontId="10" fillId="0" borderId="0" xfId="0" applyFont="1" applyFill="1" applyAlignment="1">
      <alignment horizontal="left" vertical="center"/>
    </xf>
    <xf numFmtId="0" fontId="15" fillId="12" borderId="2" xfId="0" applyFont="1" applyFill="1" applyBorder="1" applyAlignment="1">
      <alignment horizontal="center" vertical="center" wrapText="1"/>
    </xf>
    <xf numFmtId="165" fontId="15" fillId="12" borderId="1" xfId="0" applyNumberFormat="1" applyFont="1" applyFill="1" applyBorder="1" applyAlignment="1">
      <alignment horizontal="center" vertical="center" wrapText="1"/>
    </xf>
    <xf numFmtId="0" fontId="10" fillId="0" borderId="0" xfId="0" applyFont="1" applyFill="1" applyAlignment="1">
      <alignment horizontal="left" vertical="center"/>
    </xf>
    <xf numFmtId="0" fontId="32" fillId="0" borderId="0" xfId="0" applyFont="1" applyFill="1" applyBorder="1" applyAlignment="1">
      <alignment horizontal="center" vertical="center"/>
    </xf>
    <xf numFmtId="164" fontId="10" fillId="0" borderId="0" xfId="0" applyNumberFormat="1" applyFont="1" applyFill="1" applyAlignment="1">
      <alignment horizontal="right" vertical="center"/>
    </xf>
    <xf numFmtId="164" fontId="12" fillId="14" borderId="1" xfId="0" applyNumberFormat="1" applyFont="1" applyFill="1" applyBorder="1" applyAlignment="1">
      <alignment horizontal="left" vertical="center"/>
    </xf>
    <xf numFmtId="0" fontId="11" fillId="0"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6"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2" fillId="12" borderId="2" xfId="0" applyFont="1" applyFill="1" applyBorder="1" applyAlignment="1">
      <alignment horizontal="center" vertical="center"/>
    </xf>
    <xf numFmtId="0" fontId="12" fillId="12"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12" borderId="1" xfId="0"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left"/>
    </xf>
    <xf numFmtId="165" fontId="15" fillId="0" borderId="2"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165" fontId="15" fillId="12" borderId="2" xfId="0" applyNumberFormat="1" applyFont="1" applyFill="1" applyBorder="1" applyAlignment="1">
      <alignment horizontal="center" vertical="center" wrapText="1"/>
    </xf>
    <xf numFmtId="165" fontId="15" fillId="12" borderId="7"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15" fillId="12" borderId="7"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5" fillId="12" borderId="1"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49" fontId="15" fillId="12" borderId="2" xfId="0" quotePrefix="1" applyNumberFormat="1" applyFont="1" applyFill="1" applyBorder="1" applyAlignment="1">
      <alignment horizontal="center" vertical="center" wrapText="1"/>
    </xf>
    <xf numFmtId="49" fontId="15" fillId="12" borderId="4" xfId="0" applyNumberFormat="1" applyFont="1" applyFill="1" applyBorder="1" applyAlignment="1">
      <alignment horizontal="center" vertical="center" wrapText="1"/>
    </xf>
    <xf numFmtId="49" fontId="15" fillId="12" borderId="7" xfId="0"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wrapText="1"/>
    </xf>
    <xf numFmtId="164" fontId="15" fillId="0" borderId="4" xfId="0" applyNumberFormat="1" applyFont="1" applyFill="1" applyBorder="1" applyAlignment="1">
      <alignment horizontal="center" vertical="center" wrapText="1"/>
    </xf>
    <xf numFmtId="164" fontId="15" fillId="0" borderId="7" xfId="0" applyNumberFormat="1" applyFont="1" applyFill="1" applyBorder="1" applyAlignment="1">
      <alignment horizontal="center" vertical="center" wrapText="1"/>
    </xf>
    <xf numFmtId="164" fontId="15" fillId="12" borderId="2" xfId="0" applyNumberFormat="1" applyFont="1" applyFill="1" applyBorder="1" applyAlignment="1">
      <alignment horizontal="center" vertical="center" wrapText="1"/>
    </xf>
    <xf numFmtId="164" fontId="15" fillId="12" borderId="4" xfId="0" applyNumberFormat="1" applyFont="1" applyFill="1" applyBorder="1" applyAlignment="1">
      <alignment horizontal="center" vertical="center" wrapText="1"/>
    </xf>
    <xf numFmtId="164" fontId="15" fillId="12" borderId="7"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165" fontId="12" fillId="12" borderId="2" xfId="0" applyNumberFormat="1" applyFont="1" applyFill="1" applyBorder="1" applyAlignment="1">
      <alignment horizontal="center" vertical="center" wrapText="1"/>
    </xf>
    <xf numFmtId="165" fontId="12" fillId="12"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12" borderId="7" xfId="0"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7" xfId="0" applyNumberFormat="1" applyFont="1" applyFill="1" applyBorder="1" applyAlignment="1">
      <alignment horizontal="center" vertical="center"/>
    </xf>
    <xf numFmtId="164" fontId="12" fillId="12" borderId="2" xfId="0" applyNumberFormat="1" applyFont="1" applyFill="1" applyBorder="1" applyAlignment="1">
      <alignment horizontal="center" vertical="center"/>
    </xf>
    <xf numFmtId="164" fontId="12" fillId="12" borderId="7" xfId="0" applyNumberFormat="1" applyFont="1" applyFill="1" applyBorder="1" applyAlignment="1">
      <alignment horizontal="center" vertical="center"/>
    </xf>
    <xf numFmtId="49" fontId="15" fillId="0" borderId="2"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13" xfId="0" applyFont="1" applyFill="1" applyBorder="1" applyAlignment="1">
      <alignment horizontal="center" vertical="center"/>
    </xf>
    <xf numFmtId="0" fontId="12" fillId="16" borderId="2" xfId="0" applyFont="1" applyFill="1" applyBorder="1" applyAlignment="1">
      <alignment horizontal="left" vertical="center" wrapText="1"/>
    </xf>
    <xf numFmtId="0" fontId="12" fillId="16" borderId="7" xfId="0" applyFont="1" applyFill="1" applyBorder="1" applyAlignment="1">
      <alignment horizontal="left" vertical="center" wrapText="1"/>
    </xf>
    <xf numFmtId="164" fontId="15" fillId="0" borderId="2" xfId="0" applyNumberFormat="1" applyFont="1" applyFill="1" applyBorder="1" applyAlignment="1">
      <alignment horizontal="right" vertical="center"/>
    </xf>
    <xf numFmtId="164" fontId="15" fillId="0" borderId="7" xfId="0" applyNumberFormat="1" applyFont="1" applyFill="1" applyBorder="1" applyAlignment="1">
      <alignment horizontal="right" vertical="center"/>
    </xf>
    <xf numFmtId="164" fontId="12" fillId="0" borderId="2" xfId="0" applyNumberFormat="1" applyFont="1" applyFill="1" applyBorder="1" applyAlignment="1">
      <alignment horizontal="right" vertical="center" wrapText="1"/>
    </xf>
    <xf numFmtId="164" fontId="12" fillId="0" borderId="7"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164" fontId="13" fillId="0" borderId="7" xfId="0" applyNumberFormat="1" applyFont="1" applyFill="1" applyBorder="1" applyAlignment="1">
      <alignment horizontal="right" vertical="center" wrapText="1"/>
    </xf>
    <xf numFmtId="164" fontId="12" fillId="0" borderId="4" xfId="0" applyNumberFormat="1" applyFont="1" applyFill="1" applyBorder="1" applyAlignment="1">
      <alignment horizontal="right" vertical="center" wrapText="1"/>
    </xf>
    <xf numFmtId="164" fontId="12" fillId="0" borderId="1" xfId="0" applyNumberFormat="1" applyFont="1" applyFill="1" applyBorder="1" applyAlignment="1">
      <alignment horizontal="center" vertical="center" wrapText="1"/>
    </xf>
    <xf numFmtId="164" fontId="13" fillId="9" borderId="2" xfId="0" applyNumberFormat="1" applyFont="1" applyFill="1" applyBorder="1" applyAlignment="1">
      <alignment horizontal="right" vertical="center" wrapText="1"/>
    </xf>
    <xf numFmtId="164" fontId="13" fillId="9" borderId="7" xfId="0" applyNumberFormat="1" applyFont="1" applyFill="1" applyBorder="1" applyAlignment="1">
      <alignment horizontal="right" vertical="center" wrapText="1"/>
    </xf>
    <xf numFmtId="164" fontId="14" fillId="0" borderId="2" xfId="0" applyNumberFormat="1" applyFont="1" applyFill="1" applyBorder="1" applyAlignment="1">
      <alignment horizontal="right" vertical="center" wrapText="1"/>
    </xf>
    <xf numFmtId="164" fontId="14" fillId="0" borderId="7" xfId="0" applyNumberFormat="1" applyFont="1" applyFill="1" applyBorder="1" applyAlignment="1">
      <alignment horizontal="right" vertical="center" wrapText="1"/>
    </xf>
    <xf numFmtId="164" fontId="14" fillId="9" borderId="2" xfId="0" applyNumberFormat="1" applyFont="1" applyFill="1" applyBorder="1" applyAlignment="1">
      <alignment horizontal="right" vertical="center" wrapText="1"/>
    </xf>
    <xf numFmtId="164" fontId="14" fillId="9" borderId="7" xfId="0" applyNumberFormat="1" applyFont="1" applyFill="1" applyBorder="1" applyAlignment="1">
      <alignment horizontal="right" vertical="center" wrapText="1"/>
    </xf>
    <xf numFmtId="0" fontId="12" fillId="0" borderId="2"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5" fillId="0" borderId="2" xfId="0" quotePrefix="1" applyFont="1" applyFill="1" applyBorder="1" applyAlignment="1">
      <alignment horizontal="center" vertical="center" wrapText="1"/>
    </xf>
    <xf numFmtId="164" fontId="12" fillId="0" borderId="2" xfId="0" applyNumberFormat="1" applyFont="1" applyFill="1" applyBorder="1" applyAlignment="1">
      <alignment horizontal="right" vertical="center"/>
    </xf>
    <xf numFmtId="164" fontId="12" fillId="0" borderId="7"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13" fillId="0" borderId="7" xfId="0" applyNumberFormat="1" applyFont="1" applyFill="1" applyBorder="1" applyAlignment="1">
      <alignment horizontal="right" vertical="center"/>
    </xf>
    <xf numFmtId="0" fontId="12" fillId="0" borderId="4" xfId="0" applyFont="1" applyFill="1" applyBorder="1" applyAlignment="1">
      <alignment horizontal="left" vertical="center" wrapText="1"/>
    </xf>
    <xf numFmtId="0" fontId="4" fillId="16" borderId="2" xfId="0" applyFont="1" applyFill="1" applyBorder="1" applyAlignment="1">
      <alignment horizontal="left"/>
    </xf>
    <xf numFmtId="0" fontId="4" fillId="16" borderId="4" xfId="0" applyFont="1" applyFill="1" applyBorder="1" applyAlignment="1">
      <alignment horizontal="left"/>
    </xf>
    <xf numFmtId="0" fontId="4" fillId="16" borderId="7" xfId="0" applyFont="1" applyFill="1" applyBorder="1" applyAlignment="1">
      <alignment horizontal="left"/>
    </xf>
    <xf numFmtId="0" fontId="12" fillId="16" borderId="4" xfId="0" applyFont="1" applyFill="1" applyBorder="1" applyAlignment="1">
      <alignment horizontal="left" vertical="center" wrapText="1"/>
    </xf>
    <xf numFmtId="0" fontId="12" fillId="13" borderId="1" xfId="0" applyFont="1" applyFill="1" applyBorder="1" applyAlignment="1">
      <alignment horizontal="left" vertical="center" wrapText="1"/>
    </xf>
    <xf numFmtId="164" fontId="13" fillId="0" borderId="1" xfId="0" applyNumberFormat="1" applyFont="1" applyFill="1" applyBorder="1" applyAlignment="1">
      <alignment horizontal="right" vertical="center"/>
    </xf>
    <xf numFmtId="164" fontId="15" fillId="0" borderId="2" xfId="0" applyNumberFormat="1" applyFont="1" applyFill="1" applyBorder="1" applyAlignment="1">
      <alignment horizontal="right" vertical="center" wrapText="1"/>
    </xf>
    <xf numFmtId="164" fontId="15" fillId="0" borderId="7" xfId="0" applyNumberFormat="1" applyFont="1" applyFill="1" applyBorder="1" applyAlignment="1">
      <alignment horizontal="right" vertical="center" wrapText="1"/>
    </xf>
    <xf numFmtId="0" fontId="12" fillId="0" borderId="2" xfId="0" applyFont="1" applyFill="1" applyBorder="1" applyAlignment="1">
      <alignment horizontal="right" vertical="center" wrapText="1"/>
    </xf>
    <xf numFmtId="0" fontId="12" fillId="0" borderId="7" xfId="0" applyFont="1" applyFill="1" applyBorder="1" applyAlignment="1">
      <alignment horizontal="right" vertical="center" wrapText="1"/>
    </xf>
    <xf numFmtId="164" fontId="15" fillId="0" borderId="4" xfId="0" applyNumberFormat="1" applyFont="1" applyFill="1" applyBorder="1" applyAlignment="1">
      <alignment horizontal="right" vertical="center" wrapText="1"/>
    </xf>
    <xf numFmtId="49" fontId="15" fillId="0" borderId="2" xfId="0" applyNumberFormat="1" applyFont="1" applyFill="1" applyBorder="1" applyAlignment="1">
      <alignment horizontal="center" vertical="center" wrapText="1"/>
    </xf>
    <xf numFmtId="49" fontId="15" fillId="0" borderId="7" xfId="0" applyNumberFormat="1" applyFont="1" applyFill="1" applyBorder="1" applyAlignment="1">
      <alignment horizontal="center" vertical="center" wrapText="1"/>
    </xf>
    <xf numFmtId="164" fontId="13" fillId="0" borderId="4" xfId="0" applyNumberFormat="1" applyFont="1" applyFill="1" applyBorder="1" applyAlignment="1">
      <alignment horizontal="right" vertical="center" wrapText="1"/>
    </xf>
    <xf numFmtId="164" fontId="14" fillId="0" borderId="4" xfId="0" applyNumberFormat="1" applyFont="1" applyFill="1" applyBorder="1" applyAlignment="1">
      <alignment horizontal="right" vertical="center" wrapText="1"/>
    </xf>
    <xf numFmtId="165" fontId="15" fillId="16" borderId="2" xfId="0" applyNumberFormat="1" applyFont="1" applyFill="1" applyBorder="1" applyAlignment="1">
      <alignment horizontal="center" vertical="center" wrapText="1"/>
    </xf>
    <xf numFmtId="165" fontId="15" fillId="16" borderId="7" xfId="0" applyNumberFormat="1" applyFont="1" applyFill="1" applyBorder="1" applyAlignment="1">
      <alignment horizontal="center" vertical="center" wrapText="1"/>
    </xf>
    <xf numFmtId="0" fontId="15" fillId="16" borderId="2" xfId="0" applyFont="1" applyFill="1" applyBorder="1" applyAlignment="1">
      <alignment horizontal="left" vertical="center" wrapText="1"/>
    </xf>
    <xf numFmtId="0" fontId="15" fillId="16" borderId="7" xfId="0" applyFont="1" applyFill="1" applyBorder="1" applyAlignment="1">
      <alignment horizontal="left" vertical="center" wrapText="1"/>
    </xf>
    <xf numFmtId="0" fontId="15" fillId="0" borderId="2" xfId="0" quotePrefix="1" applyFont="1" applyFill="1" applyBorder="1" applyAlignment="1">
      <alignment vertical="center" wrapText="1"/>
    </xf>
    <xf numFmtId="0" fontId="15" fillId="0" borderId="7" xfId="0" quotePrefix="1" applyFont="1" applyFill="1" applyBorder="1" applyAlignment="1">
      <alignmen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13" borderId="1" xfId="0" applyFont="1" applyFill="1" applyBorder="1" applyAlignment="1">
      <alignment vertical="center" wrapText="1"/>
    </xf>
    <xf numFmtId="9" fontId="15" fillId="0" borderId="2" xfId="0" quotePrefix="1" applyNumberFormat="1" applyFont="1" applyFill="1" applyBorder="1" applyAlignment="1">
      <alignment horizontal="center" vertical="center" wrapText="1"/>
    </xf>
    <xf numFmtId="9" fontId="15" fillId="0" borderId="7" xfId="0" quotePrefix="1" applyNumberFormat="1" applyFont="1" applyFill="1" applyBorder="1" applyAlignment="1">
      <alignment horizontal="center" vertical="center" wrapText="1"/>
    </xf>
    <xf numFmtId="164" fontId="13" fillId="0" borderId="1"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164" fontId="14" fillId="9" borderId="1" xfId="0" applyNumberFormat="1" applyFont="1" applyFill="1" applyBorder="1" applyAlignment="1">
      <alignment horizontal="right" vertical="center" wrapText="1"/>
    </xf>
    <xf numFmtId="0" fontId="12" fillId="13" borderId="5" xfId="0" applyFont="1" applyFill="1" applyBorder="1" applyAlignment="1">
      <alignment horizontal="left" vertical="center" wrapText="1"/>
    </xf>
    <xf numFmtId="0" fontId="12" fillId="13" borderId="6" xfId="0" applyFont="1" applyFill="1" applyBorder="1" applyAlignment="1">
      <alignment horizontal="left" vertical="center" wrapText="1"/>
    </xf>
    <xf numFmtId="0" fontId="12" fillId="13" borderId="3" xfId="0" applyFont="1" applyFill="1" applyBorder="1" applyAlignment="1">
      <alignment horizontal="left" vertical="center" wrapText="1"/>
    </xf>
    <xf numFmtId="164" fontId="14" fillId="9" borderId="4" xfId="0" applyNumberFormat="1" applyFont="1" applyFill="1" applyBorder="1" applyAlignment="1">
      <alignment horizontal="right" vertical="center" wrapText="1"/>
    </xf>
    <xf numFmtId="0" fontId="12" fillId="15" borderId="1" xfId="0" applyFont="1" applyFill="1" applyBorder="1" applyAlignment="1">
      <alignment vertical="center" wrapText="1"/>
    </xf>
    <xf numFmtId="164" fontId="12" fillId="0" borderId="1" xfId="0" applyNumberFormat="1" applyFont="1" applyFill="1" applyBorder="1" applyAlignment="1">
      <alignment horizontal="right" vertical="center"/>
    </xf>
    <xf numFmtId="164" fontId="14" fillId="0" borderId="2" xfId="0" applyNumberFormat="1" applyFont="1" applyFill="1" applyBorder="1" applyAlignment="1">
      <alignment horizontal="right" vertical="center"/>
    </xf>
    <xf numFmtId="164" fontId="14" fillId="0" borderId="7" xfId="0" applyNumberFormat="1" applyFont="1" applyFill="1" applyBorder="1" applyAlignment="1">
      <alignment horizontal="right" vertical="center"/>
    </xf>
    <xf numFmtId="164" fontId="12" fillId="0" borderId="1" xfId="0" applyNumberFormat="1" applyFont="1" applyFill="1" applyBorder="1" applyAlignment="1">
      <alignment horizontal="right" vertical="center" wrapText="1"/>
    </xf>
    <xf numFmtId="164" fontId="13" fillId="0" borderId="1" xfId="0" applyNumberFormat="1" applyFont="1" applyFill="1" applyBorder="1" applyAlignment="1">
      <alignment horizontal="center" vertical="center" wrapText="1"/>
    </xf>
    <xf numFmtId="0" fontId="15" fillId="0" borderId="2" xfId="0" quotePrefix="1" applyFont="1" applyFill="1" applyBorder="1" applyAlignment="1">
      <alignment horizontal="left" vertical="center" wrapText="1"/>
    </xf>
    <xf numFmtId="0" fontId="15" fillId="0" borderId="7" xfId="0" quotePrefix="1" applyFont="1" applyFill="1" applyBorder="1" applyAlignment="1">
      <alignment horizontal="left" vertical="center" wrapText="1"/>
    </xf>
    <xf numFmtId="0" fontId="15" fillId="6" borderId="2" xfId="0" applyFont="1" applyFill="1" applyBorder="1" applyAlignment="1">
      <alignment vertical="center" wrapText="1"/>
    </xf>
    <xf numFmtId="0" fontId="15" fillId="6" borderId="7" xfId="0" applyFont="1" applyFill="1" applyBorder="1" applyAlignment="1">
      <alignment vertical="center" wrapText="1"/>
    </xf>
    <xf numFmtId="0" fontId="15" fillId="15" borderId="1" xfId="0" applyFont="1" applyFill="1" applyBorder="1" applyAlignment="1">
      <alignment vertical="center" wrapText="1"/>
    </xf>
    <xf numFmtId="164" fontId="15" fillId="0" borderId="1" xfId="0" applyNumberFormat="1" applyFont="1" applyFill="1" applyBorder="1" applyAlignment="1">
      <alignment horizontal="right" vertical="center" wrapText="1"/>
    </xf>
    <xf numFmtId="0" fontId="12" fillId="16" borderId="2" xfId="0" applyFont="1" applyFill="1" applyBorder="1" applyAlignment="1">
      <alignment horizontal="left" vertical="center"/>
    </xf>
    <xf numFmtId="0" fontId="12" fillId="16" borderId="4" xfId="0" applyFont="1" applyFill="1" applyBorder="1" applyAlignment="1">
      <alignment horizontal="left" vertical="center"/>
    </xf>
    <xf numFmtId="0" fontId="12" fillId="16" borderId="7" xfId="0" applyFont="1" applyFill="1" applyBorder="1" applyAlignment="1">
      <alignment horizontal="left" vertical="center"/>
    </xf>
    <xf numFmtId="0" fontId="12" fillId="0" borderId="2" xfId="0" applyFont="1" applyFill="1" applyBorder="1" applyAlignment="1">
      <alignment vertical="center" wrapText="1"/>
    </xf>
    <xf numFmtId="0" fontId="12" fillId="0" borderId="7" xfId="0" applyFont="1" applyFill="1" applyBorder="1" applyAlignment="1">
      <alignment vertical="center" wrapText="1"/>
    </xf>
    <xf numFmtId="0" fontId="15" fillId="0" borderId="1" xfId="0" applyFont="1" applyFill="1" applyBorder="1" applyAlignment="1">
      <alignment horizontal="left" vertical="center" wrapText="1"/>
    </xf>
    <xf numFmtId="164" fontId="14" fillId="0" borderId="4" xfId="0" applyNumberFormat="1" applyFont="1" applyFill="1" applyBorder="1" applyAlignment="1">
      <alignment horizontal="right" vertical="center"/>
    </xf>
    <xf numFmtId="0" fontId="12" fillId="0" borderId="1" xfId="0" applyFont="1" applyFill="1" applyBorder="1" applyAlignment="1">
      <alignment vertical="center" wrapText="1"/>
    </xf>
    <xf numFmtId="49" fontId="12" fillId="0" borderId="2"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4" fillId="15" borderId="1" xfId="0" applyFont="1" applyFill="1" applyBorder="1" applyAlignment="1">
      <alignment vertical="center" wrapText="1"/>
    </xf>
    <xf numFmtId="0" fontId="11" fillId="12" borderId="1" xfId="0" applyFont="1" applyFill="1" applyBorder="1" applyAlignment="1">
      <alignment horizontal="center" vertical="center" wrapText="1"/>
    </xf>
    <xf numFmtId="0" fontId="12" fillId="15" borderId="1" xfId="0" applyFont="1" applyFill="1" applyBorder="1" applyAlignment="1">
      <alignment vertical="center"/>
    </xf>
    <xf numFmtId="0" fontId="15" fillId="13" borderId="1" xfId="0" applyFont="1" applyFill="1" applyBorder="1" applyAlignment="1">
      <alignment vertical="center" wrapText="1"/>
    </xf>
    <xf numFmtId="0" fontId="11" fillId="0" borderId="1"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0" fontId="15" fillId="0" borderId="4" xfId="0" quotePrefix="1" applyFont="1" applyFill="1"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164" fontId="14" fillId="0" borderId="1" xfId="0" applyNumberFormat="1" applyFont="1" applyFill="1" applyBorder="1" applyAlignment="1">
      <alignment horizontal="right" vertical="center" wrapText="1"/>
    </xf>
    <xf numFmtId="0" fontId="12" fillId="0" borderId="4"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vertical="center" wrapText="1"/>
    </xf>
    <xf numFmtId="0" fontId="15" fillId="0" borderId="4" xfId="0" applyFont="1" applyFill="1" applyBorder="1" applyAlignment="1">
      <alignment vertical="center" wrapText="1"/>
    </xf>
    <xf numFmtId="0" fontId="15" fillId="0" borderId="7" xfId="0" applyFont="1" applyFill="1" applyBorder="1" applyAlignment="1">
      <alignment vertical="center" wrapText="1"/>
    </xf>
    <xf numFmtId="49" fontId="12" fillId="0" borderId="2"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5" fillId="0" borderId="1" xfId="0" quotePrefix="1" applyFont="1" applyFill="1" applyBorder="1" applyAlignment="1">
      <alignment vertical="center" wrapText="1"/>
    </xf>
    <xf numFmtId="0" fontId="21" fillId="0" borderId="1" xfId="0" applyFont="1" applyFill="1" applyBorder="1" applyAlignment="1">
      <alignment vertical="center" wrapText="1"/>
    </xf>
    <xf numFmtId="0" fontId="15" fillId="0" borderId="1" xfId="0" applyFont="1" applyFill="1" applyBorder="1" applyAlignment="1">
      <alignment vertical="center" wrapText="1"/>
    </xf>
    <xf numFmtId="0" fontId="13" fillId="14" borderId="1" xfId="0" applyFont="1" applyFill="1" applyBorder="1" applyAlignment="1">
      <alignment vertical="center" wrapText="1"/>
    </xf>
    <xf numFmtId="0" fontId="15" fillId="0" borderId="4" xfId="0" applyFont="1" applyFill="1" applyBorder="1" applyAlignment="1">
      <alignment horizontal="left" vertical="center" wrapText="1"/>
    </xf>
    <xf numFmtId="49" fontId="12" fillId="0" borderId="4"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4" xfId="0" applyFont="1" applyFill="1" applyBorder="1" applyAlignment="1">
      <alignment horizontal="righ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3" fillId="0" borderId="2" xfId="0" applyFont="1" applyFill="1" applyBorder="1" applyAlignment="1">
      <alignment horizontal="right" vertical="center" wrapText="1"/>
    </xf>
    <xf numFmtId="0" fontId="13" fillId="0" borderId="7" xfId="0" applyFont="1" applyFill="1" applyBorder="1" applyAlignment="1">
      <alignment horizontal="right" vertical="center" wrapText="1"/>
    </xf>
    <xf numFmtId="0" fontId="12" fillId="13" borderId="1" xfId="0" applyFont="1" applyFill="1" applyBorder="1" applyAlignment="1">
      <alignment vertical="center"/>
    </xf>
    <xf numFmtId="0" fontId="12" fillId="0" borderId="2" xfId="0" applyFont="1" applyFill="1" applyBorder="1" applyAlignment="1">
      <alignment horizontal="left" vertical="center"/>
    </xf>
    <xf numFmtId="0" fontId="12" fillId="0" borderId="7" xfId="0" applyFont="1" applyFill="1" applyBorder="1" applyAlignment="1">
      <alignment horizontal="left" vertical="center"/>
    </xf>
    <xf numFmtId="0" fontId="12" fillId="0" borderId="4" xfId="0" applyFont="1" applyFill="1" applyBorder="1" applyAlignment="1">
      <alignment horizontal="left" vertical="center"/>
    </xf>
    <xf numFmtId="1" fontId="15" fillId="0" borderId="2" xfId="0"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21" fillId="0" borderId="7" xfId="0" applyFont="1" applyFill="1" applyBorder="1" applyAlignment="1">
      <alignment horizontal="center" vertical="center" wrapText="1"/>
    </xf>
    <xf numFmtId="0" fontId="15" fillId="0" borderId="1" xfId="0" quotePrefix="1"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49" fontId="15" fillId="0" borderId="1"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164" fontId="10" fillId="0" borderId="0" xfId="0" applyNumberFormat="1" applyFont="1" applyFill="1" applyAlignment="1">
      <alignment horizontal="right" vertical="center"/>
    </xf>
    <xf numFmtId="0" fontId="15" fillId="13" borderId="5" xfId="0" applyFont="1" applyFill="1" applyBorder="1" applyAlignment="1">
      <alignment vertical="center" wrapText="1"/>
    </xf>
    <xf numFmtId="0" fontId="15" fillId="13" borderId="6" xfId="0" applyFont="1" applyFill="1" applyBorder="1" applyAlignment="1">
      <alignment vertical="center" wrapText="1"/>
    </xf>
    <xf numFmtId="0" fontId="15" fillId="13" borderId="3" xfId="0" applyFont="1" applyFill="1" applyBorder="1" applyAlignment="1">
      <alignment vertical="center" wrapText="1"/>
    </xf>
    <xf numFmtId="0" fontId="32" fillId="0" borderId="10" xfId="0" applyFont="1" applyFill="1" applyBorder="1" applyAlignment="1">
      <alignment horizontal="left" vertical="center"/>
    </xf>
    <xf numFmtId="0" fontId="12" fillId="15" borderId="5" xfId="0" applyFont="1" applyFill="1" applyBorder="1" applyAlignment="1">
      <alignment horizontal="left" vertical="center"/>
    </xf>
    <xf numFmtId="0" fontId="12" fillId="15" borderId="6" xfId="0" applyFont="1" applyFill="1" applyBorder="1" applyAlignment="1">
      <alignment horizontal="left" vertical="center"/>
    </xf>
    <xf numFmtId="0" fontId="12" fillId="15" borderId="3" xfId="0" applyFont="1" applyFill="1" applyBorder="1" applyAlignment="1">
      <alignment horizontal="left" vertical="center"/>
    </xf>
    <xf numFmtId="0" fontId="12" fillId="13" borderId="5" xfId="0" applyFont="1" applyFill="1" applyBorder="1" applyAlignment="1">
      <alignment horizontal="left" vertical="center"/>
    </xf>
    <xf numFmtId="0" fontId="12" fillId="13" borderId="6" xfId="0" applyFont="1" applyFill="1" applyBorder="1" applyAlignment="1">
      <alignment horizontal="left" vertical="center"/>
    </xf>
    <xf numFmtId="0" fontId="12" fillId="13" borderId="3" xfId="0" applyFont="1" applyFill="1" applyBorder="1" applyAlignment="1">
      <alignment horizontal="left" vertical="center"/>
    </xf>
    <xf numFmtId="164" fontId="14" fillId="10" borderId="2" xfId="0" applyNumberFormat="1" applyFont="1" applyFill="1" applyBorder="1" applyAlignment="1">
      <alignment horizontal="right" vertical="center" wrapText="1"/>
    </xf>
    <xf numFmtId="164" fontId="14" fillId="10" borderId="4" xfId="0" applyNumberFormat="1" applyFont="1" applyFill="1" applyBorder="1" applyAlignment="1">
      <alignment horizontal="right" vertical="center" wrapText="1"/>
    </xf>
    <xf numFmtId="164" fontId="14" fillId="10" borderId="7" xfId="0" applyNumberFormat="1" applyFont="1" applyFill="1" applyBorder="1" applyAlignment="1">
      <alignment horizontal="right" vertical="center" wrapText="1"/>
    </xf>
    <xf numFmtId="0" fontId="13" fillId="14" borderId="5" xfId="0" applyFont="1" applyFill="1" applyBorder="1" applyAlignment="1">
      <alignment horizontal="center" vertical="center" wrapText="1"/>
    </xf>
    <xf numFmtId="0" fontId="13" fillId="14" borderId="3" xfId="0" applyFont="1" applyFill="1" applyBorder="1" applyAlignment="1">
      <alignment horizontal="center" vertical="center" wrapText="1"/>
    </xf>
    <xf numFmtId="1" fontId="15" fillId="0" borderId="2" xfId="0" applyNumberFormat="1" applyFont="1" applyFill="1" applyBorder="1" applyAlignment="1">
      <alignment horizontal="left" vertical="center" wrapText="1"/>
    </xf>
    <xf numFmtId="1" fontId="15" fillId="0" borderId="7" xfId="0" applyNumberFormat="1" applyFont="1" applyFill="1" applyBorder="1" applyAlignment="1">
      <alignment horizontal="left" vertical="center" wrapText="1"/>
    </xf>
    <xf numFmtId="0" fontId="12" fillId="17" borderId="2" xfId="0" applyFont="1" applyFill="1" applyBorder="1" applyAlignment="1">
      <alignment horizontal="left" vertical="center" wrapText="1"/>
    </xf>
    <xf numFmtId="0" fontId="12" fillId="17" borderId="7" xfId="0" applyFont="1" applyFill="1" applyBorder="1" applyAlignment="1">
      <alignment horizontal="left" vertical="center" wrapText="1"/>
    </xf>
    <xf numFmtId="164" fontId="12" fillId="0" borderId="2" xfId="0" applyNumberFormat="1" applyFont="1" applyFill="1" applyBorder="1" applyAlignment="1">
      <alignment horizontal="left" vertical="center" wrapText="1"/>
    </xf>
    <xf numFmtId="164" fontId="12" fillId="0" borderId="7" xfId="0" applyNumberFormat="1" applyFont="1" applyFill="1" applyBorder="1" applyAlignment="1">
      <alignment horizontal="left" vertical="center" wrapText="1"/>
    </xf>
    <xf numFmtId="165" fontId="15" fillId="0" borderId="2" xfId="0" applyNumberFormat="1" applyFont="1" applyFill="1" applyBorder="1" applyAlignment="1">
      <alignment horizontal="left" vertical="center" wrapText="1"/>
    </xf>
    <xf numFmtId="165" fontId="15" fillId="0" borderId="7" xfId="0" applyNumberFormat="1" applyFont="1" applyFill="1" applyBorder="1" applyAlignment="1">
      <alignment horizontal="left" vertical="center" wrapText="1"/>
    </xf>
    <xf numFmtId="1" fontId="15" fillId="16" borderId="2" xfId="0" applyNumberFormat="1" applyFont="1" applyFill="1" applyBorder="1" applyAlignment="1">
      <alignment horizontal="left" vertical="center" wrapText="1"/>
    </xf>
    <xf numFmtId="1" fontId="15" fillId="16" borderId="7" xfId="0" applyNumberFormat="1" applyFont="1" applyFill="1" applyBorder="1" applyAlignment="1">
      <alignment horizontal="left" vertical="center" wrapText="1"/>
    </xf>
    <xf numFmtId="1" fontId="15" fillId="12" borderId="2" xfId="0" applyNumberFormat="1" applyFont="1" applyFill="1" applyBorder="1" applyAlignment="1">
      <alignment horizontal="center" vertical="center" wrapText="1"/>
    </xf>
    <xf numFmtId="1" fontId="15" fillId="12" borderId="7" xfId="0" applyNumberFormat="1" applyFont="1" applyFill="1" applyBorder="1" applyAlignment="1">
      <alignment horizontal="center" vertical="center" wrapText="1"/>
    </xf>
    <xf numFmtId="0" fontId="30" fillId="0" borderId="0" xfId="0" applyFont="1" applyAlignment="1">
      <alignment horizontal="center"/>
    </xf>
    <xf numFmtId="0" fontId="12" fillId="5" borderId="1" xfId="0" applyFont="1" applyFill="1" applyBorder="1" applyAlignment="1">
      <alignment vertical="center" wrapText="1"/>
    </xf>
    <xf numFmtId="0" fontId="12" fillId="5"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8" borderId="1" xfId="0" applyFont="1" applyFill="1" applyBorder="1" applyAlignment="1">
      <alignment vertical="center"/>
    </xf>
    <xf numFmtId="0" fontId="12" fillId="7" borderId="1" xfId="0" applyFont="1" applyFill="1" applyBorder="1" applyAlignment="1">
      <alignment vertical="center" wrapText="1"/>
    </xf>
    <xf numFmtId="0" fontId="12" fillId="4" borderId="1" xfId="0" applyFont="1" applyFill="1" applyBorder="1" applyAlignment="1">
      <alignment vertical="center"/>
    </xf>
    <xf numFmtId="0" fontId="13" fillId="3"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0" xfId="0" applyFont="1" applyFill="1" applyBorder="1" applyAlignment="1">
      <alignment horizontal="left"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12" fillId="8" borderId="5" xfId="0" applyFont="1" applyFill="1" applyBorder="1" applyAlignment="1">
      <alignment horizontal="left" vertical="center"/>
    </xf>
    <xf numFmtId="0" fontId="12" fillId="8" borderId="6" xfId="0" applyFont="1" applyFill="1" applyBorder="1" applyAlignment="1">
      <alignment horizontal="left" vertical="center"/>
    </xf>
    <xf numFmtId="0" fontId="12" fillId="8" borderId="3" xfId="0" applyFont="1" applyFill="1" applyBorder="1" applyAlignment="1">
      <alignment horizontal="left" vertical="center"/>
    </xf>
    <xf numFmtId="0" fontId="12" fillId="5" borderId="1" xfId="0" applyFont="1" applyFill="1" applyBorder="1" applyAlignment="1">
      <alignment horizontal="left" vertical="center" wrapText="1"/>
    </xf>
    <xf numFmtId="0" fontId="12" fillId="4" borderId="1" xfId="0" applyFont="1" applyFill="1" applyBorder="1" applyAlignment="1">
      <alignment vertical="center" wrapText="1"/>
    </xf>
    <xf numFmtId="0" fontId="12" fillId="5" borderId="1" xfId="0" applyFont="1" applyFill="1" applyBorder="1" applyAlignment="1">
      <alignment vertical="center"/>
    </xf>
    <xf numFmtId="0" fontId="12" fillId="7" borderId="5"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3" xfId="0" applyFont="1" applyFill="1" applyBorder="1" applyAlignment="1">
      <alignment horizontal="left" vertical="center" wrapText="1"/>
    </xf>
    <xf numFmtId="0" fontId="13" fillId="2" borderId="1" xfId="0" applyFont="1" applyFill="1" applyBorder="1" applyAlignment="1">
      <alignment vertical="center" wrapText="1"/>
    </xf>
    <xf numFmtId="0" fontId="15" fillId="0" borderId="4" xfId="0" quotePrefix="1" applyFont="1" applyFill="1" applyBorder="1" applyAlignment="1">
      <alignment horizontal="left" vertical="center" wrapText="1"/>
    </xf>
    <xf numFmtId="0" fontId="15" fillId="7" borderId="5"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4" borderId="1" xfId="0" applyFont="1" applyFill="1" applyBorder="1" applyAlignment="1">
      <alignment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1" xfId="0"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left" vertical="center" wrapText="1"/>
    </xf>
    <xf numFmtId="49" fontId="15" fillId="5" borderId="2" xfId="0" applyNumberFormat="1" applyFont="1" applyFill="1" applyBorder="1" applyAlignment="1">
      <alignment horizontal="left" vertical="center" wrapText="1"/>
    </xf>
    <xf numFmtId="49" fontId="15" fillId="5" borderId="7" xfId="0" applyNumberFormat="1"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5" borderId="14"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8" xfId="0" applyFont="1" applyFill="1" applyBorder="1" applyAlignment="1">
      <alignment horizontal="left" vertical="center" wrapText="1"/>
    </xf>
    <xf numFmtId="0" fontId="13" fillId="0" borderId="1" xfId="0" applyFont="1" applyBorder="1" applyAlignment="1">
      <alignment horizontal="center" vertical="center" wrapText="1"/>
    </xf>
    <xf numFmtId="49" fontId="15" fillId="5" borderId="2" xfId="0" applyNumberFormat="1" applyFont="1" applyFill="1" applyBorder="1" applyAlignment="1">
      <alignment horizontal="center" vertical="center" wrapText="1"/>
    </xf>
    <xf numFmtId="49" fontId="15" fillId="5" borderId="7" xfId="0" applyNumberFormat="1" applyFont="1" applyFill="1" applyBorder="1" applyAlignment="1">
      <alignment horizontal="center" vertical="center" wrapText="1"/>
    </xf>
  </cellXfs>
  <cellStyles count="8">
    <cellStyle name="Обычный" xfId="0" builtinId="0"/>
    <cellStyle name="Обычный 2" xfId="2"/>
    <cellStyle name="Обычный 2 2" xfId="3"/>
    <cellStyle name="Обычный 2 2 2 2" xfId="7"/>
    <cellStyle name="Обычный 8" xfId="4"/>
    <cellStyle name="Обычный 8 2" xfId="6"/>
    <cellStyle name="Финансовый" xfId="1" builtinId="3"/>
    <cellStyle name="Финансовый 2" xfId="5"/>
  </cellStyles>
  <dxfs count="0"/>
  <tableStyles count="0" defaultTableStyle="TableStyleMedium2" defaultPivotStyle="PivotStyleMedium9"/>
  <colors>
    <mruColors>
      <color rgb="FFFFCCCC"/>
      <color rgb="FFFF00FF"/>
      <color rgb="FF00FFCC"/>
      <color rgb="FFCC66FF"/>
      <color rgb="FFA7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GM661"/>
  <sheetViews>
    <sheetView tabSelected="1" topLeftCell="A3" zoomScale="48" zoomScaleNormal="48" zoomScaleSheetLayoutView="44" zoomScalePageLayoutView="28" workbookViewId="0">
      <selection activeCell="B6" sqref="B6:B11"/>
    </sheetView>
  </sheetViews>
  <sheetFormatPr defaultColWidth="8.85546875" defaultRowHeight="26.25" outlineLevelCol="1" x14ac:dyDescent="0.3"/>
  <cols>
    <col min="1" max="1" width="16.5703125" style="12" customWidth="1"/>
    <col min="2" max="2" width="51.140625" style="13" customWidth="1"/>
    <col min="3" max="3" width="101.85546875" style="13" customWidth="1"/>
    <col min="4" max="4" width="33.28515625" style="14" customWidth="1"/>
    <col min="5" max="5" width="26.85546875" style="12" customWidth="1"/>
    <col min="6" max="6" width="54" style="15" customWidth="1"/>
    <col min="7" max="7" width="21.85546875" style="12" customWidth="1"/>
    <col min="8" max="8" width="16.28515625" style="14" bestFit="1" customWidth="1"/>
    <col min="9" max="9" width="17.7109375" style="12" customWidth="1" outlineLevel="1"/>
    <col min="10" max="10" width="16.5703125" style="14" customWidth="1" outlineLevel="1"/>
    <col min="11" max="11" width="19" style="291" customWidth="1" outlineLevel="1"/>
    <col min="12" max="12" width="16.5703125" style="14" customWidth="1"/>
    <col min="13" max="13" width="19" style="641" customWidth="1"/>
    <col min="14" max="14" width="84" style="590" hidden="1" customWidth="1" outlineLevel="1"/>
    <col min="15" max="15" width="110.42578125" style="623" customWidth="1" collapsed="1"/>
    <col min="16" max="16" width="84" style="449" hidden="1" customWidth="1"/>
    <col min="17" max="26" width="15.5703125" style="12" hidden="1" customWidth="1"/>
    <col min="27" max="27" width="23" style="16" hidden="1" customWidth="1"/>
    <col min="28" max="28" width="23.85546875" style="17" hidden="1" customWidth="1"/>
    <col min="29" max="29" width="21.140625" style="17" hidden="1" customWidth="1"/>
    <col min="30" max="30" width="25.140625" style="17" hidden="1" customWidth="1"/>
    <col min="31" max="31" width="23" style="17" hidden="1" customWidth="1"/>
    <col min="32" max="32" width="23.140625" style="16" hidden="1" customWidth="1"/>
    <col min="33" max="33" width="25.42578125" style="17" hidden="1" customWidth="1"/>
    <col min="34" max="35" width="20.85546875" style="17" hidden="1" customWidth="1"/>
    <col min="36" max="36" width="23" style="17" hidden="1" customWidth="1"/>
    <col min="37" max="37" width="23.140625" style="16" hidden="1" customWidth="1"/>
    <col min="38" max="38" width="25.5703125" style="17" hidden="1" customWidth="1"/>
    <col min="39" max="39" width="20.5703125" style="17" hidden="1" customWidth="1"/>
    <col min="40" max="40" width="17.85546875" style="17" hidden="1" customWidth="1"/>
    <col min="41" max="41" width="21" style="17" hidden="1" customWidth="1"/>
    <col min="42" max="42" width="23.28515625" style="16" hidden="1" customWidth="1"/>
    <col min="43" max="43" width="25.28515625" style="17" hidden="1" customWidth="1"/>
    <col min="44" max="44" width="21" style="17" hidden="1" customWidth="1"/>
    <col min="45" max="45" width="17.85546875" style="17" hidden="1" customWidth="1"/>
    <col min="46" max="46" width="21.140625" style="17" hidden="1" customWidth="1"/>
    <col min="47" max="47" width="23.28515625" style="16" hidden="1" customWidth="1"/>
    <col min="48" max="49" width="21.140625" style="17" hidden="1" customWidth="1"/>
    <col min="50" max="50" width="18.85546875" style="17" hidden="1" customWidth="1"/>
    <col min="51" max="51" width="21" style="17" hidden="1" customWidth="1"/>
    <col min="52" max="52" width="22.5703125" style="16" hidden="1" customWidth="1"/>
    <col min="53" max="53" width="21.140625" style="17" hidden="1" customWidth="1"/>
    <col min="54" max="54" width="21.42578125" style="17" hidden="1" customWidth="1"/>
    <col min="55" max="55" width="18.85546875" style="17" hidden="1" customWidth="1"/>
    <col min="56" max="56" width="21" style="17" hidden="1" customWidth="1"/>
    <col min="57" max="57" width="23.28515625" style="16" hidden="1" customWidth="1"/>
    <col min="58" max="58" width="21.140625" style="17" hidden="1" customWidth="1"/>
    <col min="59" max="59" width="21.42578125" style="17" hidden="1" customWidth="1"/>
    <col min="60" max="60" width="18.85546875" style="17" hidden="1" customWidth="1"/>
    <col min="61" max="61" width="21" style="17" hidden="1" customWidth="1"/>
    <col min="62" max="62" width="21.28515625" style="16" hidden="1" customWidth="1"/>
    <col min="63" max="63" width="21.28515625" style="17" hidden="1" customWidth="1"/>
    <col min="64" max="64" width="21.140625" style="17" hidden="1" customWidth="1"/>
    <col min="65" max="65" width="18.85546875" style="17" hidden="1" customWidth="1"/>
    <col min="66" max="66" width="18" style="17" hidden="1" customWidth="1"/>
    <col min="67" max="67" width="23.28515625" style="16" hidden="1" customWidth="1"/>
    <col min="68" max="68" width="21.7109375" style="17" hidden="1" customWidth="1"/>
    <col min="69" max="69" width="21.42578125" style="17" hidden="1" customWidth="1"/>
    <col min="70" max="70" width="17.85546875" style="17" hidden="1" customWidth="1"/>
    <col min="71" max="71" width="21" style="17" hidden="1" customWidth="1"/>
    <col min="72" max="72" width="23.28515625" style="16" hidden="1" customWidth="1"/>
    <col min="73" max="73" width="22.5703125" style="17" hidden="1" customWidth="1"/>
    <col min="74" max="74" width="21.28515625" style="17" hidden="1" customWidth="1"/>
    <col min="75" max="75" width="15.7109375" style="17" hidden="1" customWidth="1"/>
    <col min="76" max="76" width="21" style="17" hidden="1" customWidth="1"/>
    <col min="77" max="77" width="23.28515625" style="16" hidden="1" customWidth="1"/>
    <col min="78" max="78" width="21.140625" style="17" hidden="1" customWidth="1"/>
    <col min="79" max="79" width="21" style="17" hidden="1" customWidth="1"/>
    <col min="80" max="80" width="14.85546875" style="17" hidden="1" customWidth="1"/>
    <col min="81" max="81" width="21" style="17" hidden="1" customWidth="1"/>
    <col min="82" max="82" width="23.28515625" style="16" hidden="1" customWidth="1"/>
    <col min="83" max="83" width="20.85546875" style="17" hidden="1" customWidth="1"/>
    <col min="84" max="84" width="21" style="17" hidden="1" customWidth="1"/>
    <col min="85" max="85" width="23.140625" style="17" hidden="1" customWidth="1"/>
    <col min="86" max="86" width="21.28515625" style="17" hidden="1" customWidth="1"/>
    <col min="87" max="87" width="23" style="18" hidden="1" customWidth="1"/>
    <col min="88" max="88" width="23.42578125" style="19" hidden="1" customWidth="1"/>
    <col min="89" max="90" width="21.140625" style="19" hidden="1" customWidth="1"/>
    <col min="91" max="91" width="26.28515625" style="19" hidden="1" customWidth="1"/>
    <col min="92" max="92" width="33.85546875" style="20" hidden="1" customWidth="1"/>
    <col min="93" max="93" width="32.7109375" style="20" hidden="1" customWidth="1"/>
    <col min="94" max="94" width="30.42578125" style="20" hidden="1" customWidth="1"/>
    <col min="95" max="95" width="33.42578125" style="20" hidden="1" customWidth="1"/>
    <col min="96" max="96" width="30.7109375" style="20" hidden="1" customWidth="1"/>
    <col min="97" max="97" width="0.42578125" style="276" customWidth="1"/>
    <col min="98" max="98" width="50.5703125" style="14" customWidth="1"/>
    <col min="99" max="99" width="41.85546875" style="4" customWidth="1"/>
    <col min="100" max="195" width="8.85546875" style="4"/>
    <col min="196" max="16384" width="8.85546875" style="2"/>
  </cols>
  <sheetData>
    <row r="1" spans="1:195" ht="26.25" hidden="1" customHeight="1" x14ac:dyDescent="0.3">
      <c r="A1" s="14"/>
      <c r="B1" s="292"/>
      <c r="C1" s="292"/>
      <c r="E1" s="14"/>
      <c r="F1" s="293"/>
      <c r="G1" s="14"/>
      <c r="I1" s="14"/>
      <c r="K1" s="14"/>
      <c r="Q1" s="14"/>
      <c r="R1" s="14"/>
      <c r="S1" s="14"/>
      <c r="T1" s="14"/>
      <c r="U1" s="14"/>
      <c r="V1" s="14"/>
      <c r="W1" s="14"/>
      <c r="X1" s="14"/>
      <c r="Y1" s="14"/>
      <c r="Z1" s="14"/>
      <c r="AA1" s="18"/>
      <c r="AB1" s="19"/>
      <c r="AC1" s="19"/>
      <c r="AD1" s="19"/>
      <c r="AE1" s="19"/>
      <c r="AF1" s="18"/>
      <c r="AG1" s="19"/>
      <c r="AH1" s="19"/>
      <c r="AI1" s="19"/>
      <c r="AJ1" s="19"/>
      <c r="AK1" s="18"/>
      <c r="AL1" s="19"/>
      <c r="AM1" s="19"/>
      <c r="AN1" s="19"/>
      <c r="AO1" s="19"/>
      <c r="AP1" s="18"/>
      <c r="AQ1" s="19"/>
      <c r="AR1" s="19"/>
      <c r="AS1" s="19"/>
      <c r="AT1" s="19"/>
      <c r="AU1" s="18"/>
      <c r="AV1" s="19"/>
      <c r="AW1" s="19"/>
      <c r="AX1" s="19"/>
      <c r="AY1" s="19"/>
      <c r="AZ1" s="18"/>
      <c r="BA1" s="19"/>
      <c r="BB1" s="19"/>
      <c r="BC1" s="19"/>
      <c r="BD1" s="19"/>
      <c r="BE1" s="18"/>
      <c r="BF1" s="19"/>
      <c r="BG1" s="19"/>
      <c r="BH1" s="19"/>
      <c r="BI1" s="19"/>
      <c r="BJ1" s="18"/>
      <c r="BK1" s="19"/>
      <c r="BL1" s="19"/>
      <c r="BM1" s="19"/>
      <c r="BN1" s="19"/>
      <c r="BO1" s="18"/>
      <c r="BP1" s="19"/>
      <c r="BQ1" s="19"/>
      <c r="BR1" s="19"/>
      <c r="BS1" s="19"/>
      <c r="BT1" s="18"/>
      <c r="BU1" s="19"/>
      <c r="BV1" s="19"/>
      <c r="BW1" s="19"/>
      <c r="BX1" s="19"/>
      <c r="BY1" s="18"/>
      <c r="BZ1" s="19"/>
      <c r="CA1" s="19"/>
      <c r="CB1" s="19"/>
      <c r="CC1" s="19"/>
      <c r="CD1" s="18"/>
      <c r="CE1" s="19"/>
      <c r="CF1" s="19"/>
      <c r="CG1" s="19"/>
      <c r="CH1" s="19"/>
      <c r="CN1" s="290"/>
      <c r="CO1" s="290"/>
      <c r="CP1" s="290"/>
      <c r="CQ1" s="898" t="s">
        <v>1459</v>
      </c>
      <c r="CR1" s="898"/>
      <c r="CS1" s="898"/>
    </row>
    <row r="2" spans="1:195" ht="26.25" hidden="1" customHeight="1" x14ac:dyDescent="0.3">
      <c r="A2" s="14"/>
      <c r="B2" s="292"/>
      <c r="C2" s="292"/>
      <c r="E2" s="14"/>
      <c r="F2" s="293"/>
      <c r="G2" s="14"/>
      <c r="I2" s="14"/>
      <c r="K2" s="14"/>
      <c r="Q2" s="14"/>
      <c r="R2" s="14"/>
      <c r="S2" s="14"/>
      <c r="T2" s="14"/>
      <c r="U2" s="14"/>
      <c r="V2" s="14"/>
      <c r="W2" s="14"/>
      <c r="X2" s="14"/>
      <c r="Y2" s="14"/>
      <c r="Z2" s="14"/>
      <c r="AA2" s="18"/>
      <c r="AB2" s="19"/>
      <c r="AC2" s="19"/>
      <c r="AD2" s="19"/>
      <c r="AE2" s="19"/>
      <c r="AF2" s="18"/>
      <c r="AG2" s="19"/>
      <c r="AH2" s="19"/>
      <c r="AI2" s="19"/>
      <c r="AJ2" s="19"/>
      <c r="AK2" s="18"/>
      <c r="AL2" s="19"/>
      <c r="AM2" s="19"/>
      <c r="AN2" s="19"/>
      <c r="AO2" s="19"/>
      <c r="AP2" s="18"/>
      <c r="AQ2" s="19"/>
      <c r="AR2" s="19"/>
      <c r="AS2" s="19"/>
      <c r="AT2" s="19"/>
      <c r="AU2" s="18"/>
      <c r="AV2" s="19"/>
      <c r="AW2" s="19"/>
      <c r="AX2" s="19"/>
      <c r="AY2" s="19"/>
      <c r="AZ2" s="18"/>
      <c r="BA2" s="19"/>
      <c r="BB2" s="19"/>
      <c r="BC2" s="19"/>
      <c r="BD2" s="19"/>
      <c r="BE2" s="18"/>
      <c r="BF2" s="19"/>
      <c r="BG2" s="19"/>
      <c r="BH2" s="19"/>
      <c r="BI2" s="19"/>
      <c r="BJ2" s="18"/>
      <c r="BK2" s="19"/>
      <c r="BL2" s="19"/>
      <c r="BM2" s="19"/>
      <c r="BN2" s="19"/>
      <c r="BO2" s="18"/>
      <c r="BP2" s="19"/>
      <c r="BQ2" s="19"/>
      <c r="BR2" s="19"/>
      <c r="BS2" s="19"/>
      <c r="BT2" s="18"/>
      <c r="BU2" s="19"/>
      <c r="BV2" s="19"/>
      <c r="BW2" s="19"/>
      <c r="BX2" s="19"/>
      <c r="BY2" s="18"/>
      <c r="BZ2" s="19"/>
      <c r="CA2" s="19"/>
      <c r="CB2" s="19"/>
      <c r="CC2" s="19"/>
      <c r="CD2" s="18"/>
      <c r="CE2" s="19"/>
      <c r="CF2" s="19"/>
      <c r="CG2" s="19"/>
      <c r="CH2" s="19"/>
      <c r="CN2" s="290"/>
      <c r="CO2" s="290"/>
      <c r="CP2" s="290"/>
      <c r="CQ2" s="898" t="s">
        <v>1460</v>
      </c>
      <c r="CR2" s="898"/>
      <c r="CS2" s="898"/>
    </row>
    <row r="3" spans="1:195" x14ac:dyDescent="0.3">
      <c r="A3" s="14"/>
      <c r="B3" s="292"/>
      <c r="C3" s="292"/>
      <c r="E3" s="14"/>
      <c r="F3" s="706"/>
      <c r="G3" s="14"/>
      <c r="I3" s="14"/>
      <c r="K3" s="14"/>
      <c r="M3" s="14"/>
      <c r="N3" s="706"/>
      <c r="O3" s="19" t="s">
        <v>1735</v>
      </c>
      <c r="P3" s="706"/>
      <c r="Q3" s="14"/>
      <c r="R3" s="14"/>
      <c r="S3" s="14"/>
      <c r="T3" s="14"/>
      <c r="U3" s="14"/>
      <c r="V3" s="14"/>
      <c r="W3" s="14"/>
      <c r="X3" s="14"/>
      <c r="Y3" s="14"/>
      <c r="Z3" s="14"/>
      <c r="AA3" s="18"/>
      <c r="AB3" s="19"/>
      <c r="AC3" s="19"/>
      <c r="AD3" s="19"/>
      <c r="AE3" s="19"/>
      <c r="AF3" s="18"/>
      <c r="AG3" s="19"/>
      <c r="AH3" s="19"/>
      <c r="AI3" s="19"/>
      <c r="AJ3" s="19"/>
      <c r="AK3" s="18"/>
      <c r="AL3" s="19"/>
      <c r="AM3" s="19"/>
      <c r="AN3" s="19"/>
      <c r="AO3" s="19"/>
      <c r="AP3" s="18"/>
      <c r="AQ3" s="19"/>
      <c r="AR3" s="19"/>
      <c r="AS3" s="19"/>
      <c r="AT3" s="19"/>
      <c r="AU3" s="18"/>
      <c r="AV3" s="19"/>
      <c r="AW3" s="19"/>
      <c r="AX3" s="19"/>
      <c r="AY3" s="19"/>
      <c r="AZ3" s="18"/>
      <c r="BA3" s="19"/>
      <c r="BB3" s="19"/>
      <c r="BC3" s="19"/>
      <c r="BD3" s="19"/>
      <c r="BE3" s="18"/>
      <c r="BF3" s="19"/>
      <c r="BG3" s="19"/>
      <c r="BH3" s="19"/>
      <c r="BI3" s="19"/>
      <c r="BJ3" s="18"/>
      <c r="BK3" s="19"/>
      <c r="BL3" s="19"/>
      <c r="BM3" s="19"/>
      <c r="BN3" s="19"/>
      <c r="BO3" s="18"/>
      <c r="BP3" s="19"/>
      <c r="BQ3" s="19"/>
      <c r="BR3" s="19"/>
      <c r="BS3" s="19"/>
      <c r="BT3" s="18"/>
      <c r="BU3" s="19"/>
      <c r="BV3" s="19"/>
      <c r="BW3" s="19"/>
      <c r="BX3" s="19"/>
      <c r="BY3" s="18"/>
      <c r="BZ3" s="19"/>
      <c r="CA3" s="19"/>
      <c r="CB3" s="19"/>
      <c r="CC3" s="19"/>
      <c r="CD3" s="18"/>
      <c r="CE3" s="19"/>
      <c r="CF3" s="19"/>
      <c r="CG3" s="19"/>
      <c r="CH3" s="19"/>
      <c r="CN3" s="708"/>
      <c r="CO3" s="708"/>
      <c r="CP3" s="708"/>
      <c r="CQ3" s="898" t="s">
        <v>1461</v>
      </c>
      <c r="CR3" s="898"/>
      <c r="CS3" s="898"/>
      <c r="CT3" s="4"/>
    </row>
    <row r="4" spans="1:195" ht="36" customHeight="1" x14ac:dyDescent="0.3">
      <c r="A4" s="897" t="s">
        <v>1466</v>
      </c>
      <c r="B4" s="897"/>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c r="AL4" s="897"/>
      <c r="AM4" s="897"/>
      <c r="AN4" s="897"/>
      <c r="AO4" s="897"/>
      <c r="AP4" s="897"/>
      <c r="AQ4" s="897"/>
      <c r="AR4" s="897"/>
      <c r="AS4" s="897"/>
      <c r="AT4" s="897"/>
      <c r="AU4" s="897"/>
      <c r="AV4" s="897"/>
      <c r="AW4" s="897"/>
      <c r="AX4" s="897"/>
      <c r="AY4" s="897"/>
      <c r="AZ4" s="897"/>
      <c r="BA4" s="897"/>
      <c r="BB4" s="897"/>
      <c r="BC4" s="897"/>
      <c r="BD4" s="897"/>
      <c r="BE4" s="897"/>
      <c r="BF4" s="897"/>
      <c r="BG4" s="897"/>
      <c r="BH4" s="897"/>
      <c r="BI4" s="897"/>
      <c r="BJ4" s="897"/>
      <c r="BK4" s="897"/>
      <c r="BL4" s="897"/>
      <c r="BM4" s="897"/>
      <c r="BN4" s="897"/>
      <c r="BO4" s="897"/>
      <c r="BP4" s="897"/>
      <c r="BQ4" s="897"/>
      <c r="BR4" s="897"/>
      <c r="BS4" s="897"/>
      <c r="BT4" s="897"/>
      <c r="BU4" s="897"/>
      <c r="BV4" s="897"/>
      <c r="BW4" s="897"/>
      <c r="BX4" s="897"/>
      <c r="BY4" s="897"/>
      <c r="BZ4" s="897"/>
      <c r="CA4" s="897"/>
      <c r="CB4" s="897"/>
      <c r="CC4" s="897"/>
      <c r="CD4" s="897"/>
      <c r="CE4" s="897"/>
      <c r="CF4" s="897"/>
      <c r="CG4" s="897"/>
      <c r="CH4" s="897"/>
      <c r="CI4" s="897"/>
      <c r="CJ4" s="897"/>
      <c r="CK4" s="897"/>
      <c r="CL4" s="897"/>
      <c r="CM4" s="897"/>
      <c r="CN4" s="897"/>
      <c r="CO4" s="897"/>
      <c r="CP4" s="897"/>
      <c r="CQ4" s="897"/>
      <c r="CR4" s="897"/>
      <c r="CS4" s="897"/>
    </row>
    <row r="5" spans="1:195" ht="22.5" customHeight="1" x14ac:dyDescent="0.3">
      <c r="A5" s="902"/>
      <c r="B5" s="902"/>
      <c r="C5" s="902"/>
      <c r="D5" s="707"/>
      <c r="E5" s="707"/>
      <c r="F5" s="707"/>
      <c r="G5" s="707"/>
      <c r="H5" s="707"/>
      <c r="I5" s="707"/>
      <c r="J5" s="707"/>
      <c r="K5" s="707"/>
      <c r="L5" s="707"/>
      <c r="M5" s="707"/>
      <c r="N5" s="439"/>
      <c r="O5" s="624"/>
      <c r="P5" s="439"/>
      <c r="Q5" s="707"/>
      <c r="R5" s="707"/>
      <c r="S5" s="707"/>
      <c r="T5" s="707"/>
      <c r="U5" s="707"/>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7"/>
      <c r="AZ5" s="707"/>
      <c r="BA5" s="707"/>
      <c r="BB5" s="707"/>
      <c r="BC5" s="707"/>
      <c r="BD5" s="707"/>
      <c r="BE5" s="707"/>
      <c r="BF5" s="707"/>
      <c r="BG5" s="707"/>
      <c r="BH5" s="707"/>
      <c r="BI5" s="707"/>
      <c r="BJ5" s="707"/>
      <c r="BK5" s="707"/>
      <c r="BL5" s="707"/>
      <c r="BM5" s="707"/>
      <c r="BN5" s="707"/>
      <c r="BO5" s="707"/>
      <c r="BP5" s="707"/>
      <c r="BQ5" s="707"/>
      <c r="BR5" s="707"/>
      <c r="BS5" s="707"/>
      <c r="BT5" s="707"/>
      <c r="BU5" s="707"/>
      <c r="BV5" s="707"/>
      <c r="BW5" s="707"/>
      <c r="BX5" s="707"/>
      <c r="BY5" s="707"/>
      <c r="BZ5" s="707"/>
      <c r="CA5" s="707"/>
      <c r="CB5" s="707"/>
      <c r="CC5" s="707"/>
      <c r="CD5" s="707"/>
      <c r="CE5" s="707"/>
      <c r="CF5" s="707"/>
      <c r="CG5" s="707"/>
      <c r="CH5" s="707"/>
      <c r="CI5" s="707"/>
      <c r="CJ5" s="707"/>
      <c r="CK5" s="707"/>
      <c r="CL5" s="707"/>
      <c r="CM5" s="707"/>
      <c r="CN5" s="707"/>
      <c r="CO5" s="707"/>
      <c r="CP5" s="707"/>
      <c r="CQ5" s="707"/>
      <c r="CR5" s="707"/>
      <c r="CS5" s="707"/>
    </row>
    <row r="6" spans="1:195" s="7" customFormat="1" ht="19.5" customHeight="1" x14ac:dyDescent="0.25">
      <c r="A6" s="847" t="s">
        <v>1</v>
      </c>
      <c r="B6" s="847" t="s">
        <v>2</v>
      </c>
      <c r="C6" s="847" t="s">
        <v>3</v>
      </c>
      <c r="D6" s="847" t="s">
        <v>4</v>
      </c>
      <c r="E6" s="847" t="s">
        <v>5</v>
      </c>
      <c r="F6" s="847" t="s">
        <v>1479</v>
      </c>
      <c r="G6" s="847"/>
      <c r="H6" s="847"/>
      <c r="I6" s="847"/>
      <c r="J6" s="847"/>
      <c r="K6" s="847"/>
      <c r="L6" s="847"/>
      <c r="M6" s="847"/>
      <c r="N6" s="847"/>
      <c r="O6" s="847"/>
      <c r="P6" s="847"/>
      <c r="Q6" s="847"/>
      <c r="R6" s="847"/>
      <c r="S6" s="847"/>
      <c r="T6" s="847"/>
      <c r="U6" s="847"/>
      <c r="V6" s="847"/>
      <c r="W6" s="847"/>
      <c r="X6" s="847"/>
      <c r="Y6" s="847"/>
      <c r="Z6" s="847"/>
      <c r="AA6" s="812" t="s">
        <v>7</v>
      </c>
      <c r="AB6" s="812"/>
      <c r="AC6" s="812"/>
      <c r="AD6" s="812"/>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812"/>
      <c r="BC6" s="812"/>
      <c r="BD6" s="812"/>
      <c r="BE6" s="812"/>
      <c r="BF6" s="812"/>
      <c r="BG6" s="812"/>
      <c r="BH6" s="812"/>
      <c r="BI6" s="812"/>
      <c r="BJ6" s="812"/>
      <c r="BK6" s="812"/>
      <c r="BL6" s="812"/>
      <c r="BM6" s="812"/>
      <c r="BN6" s="812"/>
      <c r="BO6" s="812"/>
      <c r="BP6" s="812"/>
      <c r="BQ6" s="812"/>
      <c r="BR6" s="812"/>
      <c r="BS6" s="812"/>
      <c r="BT6" s="812"/>
      <c r="BU6" s="812"/>
      <c r="BV6" s="812"/>
      <c r="BW6" s="812"/>
      <c r="BX6" s="812"/>
      <c r="BY6" s="812"/>
      <c r="BZ6" s="812"/>
      <c r="CA6" s="812"/>
      <c r="CB6" s="812"/>
      <c r="CC6" s="812"/>
      <c r="CD6" s="812"/>
      <c r="CE6" s="812"/>
      <c r="CF6" s="812"/>
      <c r="CG6" s="812"/>
      <c r="CH6" s="812"/>
      <c r="CI6" s="812" t="s">
        <v>1242</v>
      </c>
      <c r="CJ6" s="812"/>
      <c r="CK6" s="812"/>
      <c r="CL6" s="812"/>
      <c r="CM6" s="812"/>
      <c r="CN6" s="812" t="s">
        <v>1243</v>
      </c>
      <c r="CO6" s="812"/>
      <c r="CP6" s="812"/>
      <c r="CQ6" s="812"/>
      <c r="CR6" s="812"/>
      <c r="CS6" s="812" t="s">
        <v>1457</v>
      </c>
      <c r="CT6" s="469"/>
      <c r="CU6" s="425"/>
      <c r="CV6" s="425"/>
      <c r="CW6" s="425"/>
      <c r="CX6" s="425"/>
      <c r="CY6" s="425"/>
      <c r="CZ6" s="425"/>
      <c r="DA6" s="425"/>
      <c r="DB6" s="425"/>
      <c r="DC6" s="425"/>
      <c r="DD6" s="425"/>
      <c r="DE6" s="425"/>
      <c r="DF6" s="425"/>
      <c r="DG6" s="425"/>
      <c r="DH6" s="425"/>
      <c r="DI6" s="425"/>
      <c r="DJ6" s="425"/>
      <c r="DK6" s="425"/>
      <c r="DL6" s="425"/>
      <c r="DM6" s="425"/>
      <c r="DN6" s="425"/>
      <c r="DO6" s="425"/>
      <c r="DP6" s="425"/>
      <c r="DQ6" s="425"/>
      <c r="DR6" s="425"/>
      <c r="DS6" s="425"/>
      <c r="DT6" s="425"/>
      <c r="DU6" s="425"/>
      <c r="DV6" s="425"/>
      <c r="DW6" s="425"/>
      <c r="DX6" s="425"/>
      <c r="DY6" s="425"/>
      <c r="DZ6" s="425"/>
      <c r="EA6" s="425"/>
      <c r="EB6" s="425"/>
      <c r="EC6" s="425"/>
      <c r="ED6" s="425"/>
      <c r="EE6" s="425"/>
      <c r="EF6" s="425"/>
      <c r="EG6" s="425"/>
      <c r="EH6" s="425"/>
      <c r="EI6" s="425"/>
      <c r="EJ6" s="425"/>
      <c r="EK6" s="425"/>
      <c r="EL6" s="425"/>
      <c r="EM6" s="425"/>
      <c r="EN6" s="425"/>
      <c r="EO6" s="425"/>
      <c r="EP6" s="425"/>
      <c r="EQ6" s="425"/>
      <c r="ER6" s="425"/>
      <c r="ES6" s="425"/>
      <c r="ET6" s="425"/>
      <c r="EU6" s="425"/>
      <c r="EV6" s="425"/>
      <c r="EW6" s="425"/>
      <c r="EX6" s="425"/>
      <c r="EY6" s="425"/>
      <c r="EZ6" s="425"/>
      <c r="FA6" s="425"/>
      <c r="FB6" s="425"/>
      <c r="FC6" s="425"/>
      <c r="FD6" s="425"/>
      <c r="FE6" s="425"/>
      <c r="FF6" s="425"/>
      <c r="FG6" s="425"/>
      <c r="FH6" s="425"/>
      <c r="FI6" s="425"/>
      <c r="FJ6" s="425"/>
      <c r="FK6" s="425"/>
      <c r="FL6" s="425"/>
      <c r="FM6" s="425"/>
      <c r="FN6" s="425"/>
      <c r="FO6" s="425"/>
      <c r="FP6" s="425"/>
      <c r="FQ6" s="425"/>
      <c r="FR6" s="425"/>
      <c r="FS6" s="425"/>
      <c r="FT6" s="425"/>
      <c r="FU6" s="425"/>
      <c r="FV6" s="425"/>
      <c r="FW6" s="425"/>
      <c r="FX6" s="425"/>
      <c r="FY6" s="425"/>
      <c r="FZ6" s="425"/>
      <c r="GA6" s="425"/>
      <c r="GB6" s="425"/>
      <c r="GC6" s="425"/>
      <c r="GD6" s="425"/>
      <c r="GE6" s="425"/>
      <c r="GF6" s="425"/>
      <c r="GG6" s="425"/>
      <c r="GH6" s="425"/>
      <c r="GI6" s="425"/>
      <c r="GJ6" s="425"/>
      <c r="GK6" s="425"/>
      <c r="GL6" s="425"/>
      <c r="GM6" s="425"/>
    </row>
    <row r="7" spans="1:195" s="7" customFormat="1" ht="13.5" customHeight="1" x14ac:dyDescent="0.25">
      <c r="A7" s="847"/>
      <c r="B7" s="847"/>
      <c r="C7" s="847"/>
      <c r="D7" s="847"/>
      <c r="E7" s="847"/>
      <c r="F7" s="847"/>
      <c r="G7" s="847"/>
      <c r="H7" s="847"/>
      <c r="I7" s="847"/>
      <c r="J7" s="847"/>
      <c r="K7" s="847"/>
      <c r="L7" s="847"/>
      <c r="M7" s="847"/>
      <c r="N7" s="847"/>
      <c r="O7" s="847"/>
      <c r="P7" s="847"/>
      <c r="Q7" s="847"/>
      <c r="R7" s="847"/>
      <c r="S7" s="847"/>
      <c r="T7" s="847"/>
      <c r="U7" s="847"/>
      <c r="V7" s="847"/>
      <c r="W7" s="847"/>
      <c r="X7" s="847"/>
      <c r="Y7" s="847"/>
      <c r="Z7" s="847"/>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2"/>
      <c r="BV7" s="812"/>
      <c r="BW7" s="812"/>
      <c r="BX7" s="812"/>
      <c r="BY7" s="812"/>
      <c r="BZ7" s="812"/>
      <c r="CA7" s="812"/>
      <c r="CB7" s="812"/>
      <c r="CC7" s="812"/>
      <c r="CD7" s="812"/>
      <c r="CE7" s="812"/>
      <c r="CF7" s="812"/>
      <c r="CG7" s="812"/>
      <c r="CH7" s="812"/>
      <c r="CI7" s="812"/>
      <c r="CJ7" s="812"/>
      <c r="CK7" s="812"/>
      <c r="CL7" s="812"/>
      <c r="CM7" s="812"/>
      <c r="CN7" s="812"/>
      <c r="CO7" s="812"/>
      <c r="CP7" s="812"/>
      <c r="CQ7" s="812"/>
      <c r="CR7" s="812"/>
      <c r="CS7" s="812"/>
      <c r="CT7" s="469"/>
      <c r="CU7" s="425"/>
      <c r="CV7" s="425"/>
      <c r="CW7" s="425"/>
      <c r="CX7" s="425"/>
      <c r="CY7" s="425"/>
      <c r="CZ7" s="425"/>
      <c r="DA7" s="425"/>
      <c r="DB7" s="425"/>
      <c r="DC7" s="425"/>
      <c r="DD7" s="425"/>
      <c r="DE7" s="425"/>
      <c r="DF7" s="425"/>
      <c r="DG7" s="425"/>
      <c r="DH7" s="425"/>
      <c r="DI7" s="425"/>
      <c r="DJ7" s="425"/>
      <c r="DK7" s="425"/>
      <c r="DL7" s="425"/>
      <c r="DM7" s="425"/>
      <c r="DN7" s="425"/>
      <c r="DO7" s="425"/>
      <c r="DP7" s="425"/>
      <c r="DQ7" s="425"/>
      <c r="DR7" s="425"/>
      <c r="DS7" s="425"/>
      <c r="DT7" s="425"/>
      <c r="DU7" s="425"/>
      <c r="DV7" s="425"/>
      <c r="DW7" s="425"/>
      <c r="DX7" s="425"/>
      <c r="DY7" s="425"/>
      <c r="DZ7" s="425"/>
      <c r="EA7" s="425"/>
      <c r="EB7" s="425"/>
      <c r="EC7" s="425"/>
      <c r="ED7" s="425"/>
      <c r="EE7" s="425"/>
      <c r="EF7" s="425"/>
      <c r="EG7" s="425"/>
      <c r="EH7" s="425"/>
      <c r="EI7" s="425"/>
      <c r="EJ7" s="425"/>
      <c r="EK7" s="425"/>
      <c r="EL7" s="425"/>
      <c r="EM7" s="425"/>
      <c r="EN7" s="425"/>
      <c r="EO7" s="425"/>
      <c r="EP7" s="425"/>
      <c r="EQ7" s="425"/>
      <c r="ER7" s="425"/>
      <c r="ES7" s="425"/>
      <c r="ET7" s="425"/>
      <c r="EU7" s="425"/>
      <c r="EV7" s="425"/>
      <c r="EW7" s="425"/>
      <c r="EX7" s="425"/>
      <c r="EY7" s="425"/>
      <c r="EZ7" s="425"/>
      <c r="FA7" s="425"/>
      <c r="FB7" s="425"/>
      <c r="FC7" s="425"/>
      <c r="FD7" s="425"/>
      <c r="FE7" s="425"/>
      <c r="FF7" s="425"/>
      <c r="FG7" s="425"/>
      <c r="FH7" s="425"/>
      <c r="FI7" s="425"/>
      <c r="FJ7" s="425"/>
      <c r="FK7" s="425"/>
      <c r="FL7" s="425"/>
      <c r="FM7" s="425"/>
      <c r="FN7" s="425"/>
      <c r="FO7" s="425"/>
      <c r="FP7" s="425"/>
      <c r="FQ7" s="425"/>
      <c r="FR7" s="425"/>
      <c r="FS7" s="425"/>
      <c r="FT7" s="425"/>
      <c r="FU7" s="425"/>
      <c r="FV7" s="425"/>
      <c r="FW7" s="425"/>
      <c r="FX7" s="425"/>
      <c r="FY7" s="425"/>
      <c r="FZ7" s="425"/>
      <c r="GA7" s="425"/>
      <c r="GB7" s="425"/>
      <c r="GC7" s="425"/>
      <c r="GD7" s="425"/>
      <c r="GE7" s="425"/>
      <c r="GF7" s="425"/>
      <c r="GG7" s="425"/>
      <c r="GH7" s="425"/>
      <c r="GI7" s="425"/>
      <c r="GJ7" s="425"/>
      <c r="GK7" s="425"/>
      <c r="GL7" s="425"/>
      <c r="GM7" s="425"/>
    </row>
    <row r="8" spans="1:195" s="7" customFormat="1" ht="25.5" hidden="1" x14ac:dyDescent="0.25">
      <c r="A8" s="847"/>
      <c r="B8" s="847"/>
      <c r="C8" s="847"/>
      <c r="D8" s="847"/>
      <c r="E8" s="847"/>
      <c r="F8" s="847"/>
      <c r="G8" s="847"/>
      <c r="H8" s="847"/>
      <c r="I8" s="847"/>
      <c r="J8" s="847"/>
      <c r="K8" s="847"/>
      <c r="L8" s="847"/>
      <c r="M8" s="847"/>
      <c r="N8" s="847"/>
      <c r="O8" s="847"/>
      <c r="P8" s="847"/>
      <c r="Q8" s="847"/>
      <c r="R8" s="847"/>
      <c r="S8" s="847"/>
      <c r="T8" s="847"/>
      <c r="U8" s="847"/>
      <c r="V8" s="847"/>
      <c r="W8" s="847"/>
      <c r="X8" s="847"/>
      <c r="Y8" s="847"/>
      <c r="Z8" s="847"/>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2"/>
      <c r="AY8" s="812"/>
      <c r="AZ8" s="812"/>
      <c r="BA8" s="812"/>
      <c r="BB8" s="812"/>
      <c r="BC8" s="812"/>
      <c r="BD8" s="812"/>
      <c r="BE8" s="812"/>
      <c r="BF8" s="812"/>
      <c r="BG8" s="812"/>
      <c r="BH8" s="812"/>
      <c r="BI8" s="812"/>
      <c r="BJ8" s="812"/>
      <c r="BK8" s="812"/>
      <c r="BL8" s="812"/>
      <c r="BM8" s="812"/>
      <c r="BN8" s="812"/>
      <c r="BO8" s="812"/>
      <c r="BP8" s="812"/>
      <c r="BQ8" s="812"/>
      <c r="BR8" s="812"/>
      <c r="BS8" s="812"/>
      <c r="BT8" s="812"/>
      <c r="BU8" s="812"/>
      <c r="BV8" s="812"/>
      <c r="BW8" s="812"/>
      <c r="BX8" s="812"/>
      <c r="BY8" s="812"/>
      <c r="BZ8" s="812"/>
      <c r="CA8" s="812"/>
      <c r="CB8" s="812"/>
      <c r="CC8" s="812"/>
      <c r="CD8" s="812"/>
      <c r="CE8" s="812"/>
      <c r="CF8" s="812"/>
      <c r="CG8" s="812"/>
      <c r="CH8" s="812"/>
      <c r="CI8" s="812"/>
      <c r="CJ8" s="812"/>
      <c r="CK8" s="812"/>
      <c r="CL8" s="812"/>
      <c r="CM8" s="812"/>
      <c r="CN8" s="812"/>
      <c r="CO8" s="812"/>
      <c r="CP8" s="812"/>
      <c r="CQ8" s="812"/>
      <c r="CR8" s="812"/>
      <c r="CS8" s="812"/>
      <c r="CT8" s="469"/>
      <c r="CU8" s="425"/>
      <c r="CV8" s="425"/>
      <c r="CW8" s="425"/>
      <c r="CX8" s="425"/>
      <c r="CY8" s="425"/>
      <c r="CZ8" s="425"/>
      <c r="DA8" s="425"/>
      <c r="DB8" s="425"/>
      <c r="DC8" s="425"/>
      <c r="DD8" s="425"/>
      <c r="DE8" s="425"/>
      <c r="DF8" s="425"/>
      <c r="DG8" s="425"/>
      <c r="DH8" s="425"/>
      <c r="DI8" s="425"/>
      <c r="DJ8" s="425"/>
      <c r="DK8" s="425"/>
      <c r="DL8" s="425"/>
      <c r="DM8" s="425"/>
      <c r="DN8" s="425"/>
      <c r="DO8" s="425"/>
      <c r="DP8" s="425"/>
      <c r="DQ8" s="425"/>
      <c r="DR8" s="425"/>
      <c r="DS8" s="425"/>
      <c r="DT8" s="425"/>
      <c r="DU8" s="425"/>
      <c r="DV8" s="425"/>
      <c r="DW8" s="425"/>
      <c r="DX8" s="425"/>
      <c r="DY8" s="425"/>
      <c r="DZ8" s="425"/>
      <c r="EA8" s="425"/>
      <c r="EB8" s="425"/>
      <c r="EC8" s="425"/>
      <c r="ED8" s="425"/>
      <c r="EE8" s="425"/>
      <c r="EF8" s="425"/>
      <c r="EG8" s="425"/>
      <c r="EH8" s="425"/>
      <c r="EI8" s="425"/>
      <c r="EJ8" s="425"/>
      <c r="EK8" s="425"/>
      <c r="EL8" s="425"/>
      <c r="EM8" s="425"/>
      <c r="EN8" s="425"/>
      <c r="EO8" s="425"/>
      <c r="EP8" s="425"/>
      <c r="EQ8" s="425"/>
      <c r="ER8" s="425"/>
      <c r="ES8" s="425"/>
      <c r="ET8" s="425"/>
      <c r="EU8" s="425"/>
      <c r="EV8" s="425"/>
      <c r="EW8" s="425"/>
      <c r="EX8" s="425"/>
      <c r="EY8" s="425"/>
      <c r="EZ8" s="425"/>
      <c r="FA8" s="425"/>
      <c r="FB8" s="425"/>
      <c r="FC8" s="425"/>
      <c r="FD8" s="425"/>
      <c r="FE8" s="425"/>
      <c r="FF8" s="425"/>
      <c r="FG8" s="425"/>
      <c r="FH8" s="425"/>
      <c r="FI8" s="425"/>
      <c r="FJ8" s="425"/>
      <c r="FK8" s="425"/>
      <c r="FL8" s="425"/>
      <c r="FM8" s="425"/>
      <c r="FN8" s="425"/>
      <c r="FO8" s="425"/>
      <c r="FP8" s="425"/>
      <c r="FQ8" s="425"/>
      <c r="FR8" s="425"/>
      <c r="FS8" s="425"/>
      <c r="FT8" s="425"/>
      <c r="FU8" s="425"/>
      <c r="FV8" s="425"/>
      <c r="FW8" s="425"/>
      <c r="FX8" s="425"/>
      <c r="FY8" s="425"/>
      <c r="FZ8" s="425"/>
      <c r="GA8" s="425"/>
      <c r="GB8" s="425"/>
      <c r="GC8" s="425"/>
      <c r="GD8" s="425"/>
      <c r="GE8" s="425"/>
      <c r="GF8" s="425"/>
      <c r="GG8" s="425"/>
      <c r="GH8" s="425"/>
      <c r="GI8" s="425"/>
      <c r="GJ8" s="425"/>
      <c r="GK8" s="425"/>
      <c r="GL8" s="425"/>
      <c r="GM8" s="425"/>
    </row>
    <row r="9" spans="1:195" s="7" customFormat="1" ht="15" customHeight="1" x14ac:dyDescent="0.25">
      <c r="A9" s="847"/>
      <c r="B9" s="847"/>
      <c r="C9" s="847"/>
      <c r="D9" s="847"/>
      <c r="E9" s="847"/>
      <c r="F9" s="847" t="s">
        <v>8</v>
      </c>
      <c r="G9" s="847" t="s">
        <v>9</v>
      </c>
      <c r="H9" s="850">
        <v>2015</v>
      </c>
      <c r="I9" s="847" t="s">
        <v>10</v>
      </c>
      <c r="J9" s="847"/>
      <c r="K9" s="847"/>
      <c r="L9" s="847"/>
      <c r="M9" s="847"/>
      <c r="N9" s="847"/>
      <c r="O9" s="847"/>
      <c r="P9" s="847"/>
      <c r="Q9" s="847"/>
      <c r="R9" s="847" t="s">
        <v>11</v>
      </c>
      <c r="S9" s="847"/>
      <c r="T9" s="847"/>
      <c r="U9" s="847" t="s">
        <v>12</v>
      </c>
      <c r="V9" s="847"/>
      <c r="W9" s="847"/>
      <c r="X9" s="847" t="s">
        <v>13</v>
      </c>
      <c r="Y9" s="847"/>
      <c r="Z9" s="847"/>
      <c r="AA9" s="812" t="s">
        <v>10</v>
      </c>
      <c r="AB9" s="812"/>
      <c r="AC9" s="812"/>
      <c r="AD9" s="812"/>
      <c r="AE9" s="812"/>
      <c r="AF9" s="812"/>
      <c r="AG9" s="812"/>
      <c r="AH9" s="812"/>
      <c r="AI9" s="812"/>
      <c r="AJ9" s="812"/>
      <c r="AK9" s="812"/>
      <c r="AL9" s="812"/>
      <c r="AM9" s="812"/>
      <c r="AN9" s="812"/>
      <c r="AO9" s="812"/>
      <c r="AP9" s="812" t="s">
        <v>11</v>
      </c>
      <c r="AQ9" s="812"/>
      <c r="AR9" s="812"/>
      <c r="AS9" s="812"/>
      <c r="AT9" s="812"/>
      <c r="AU9" s="812"/>
      <c r="AV9" s="812"/>
      <c r="AW9" s="812"/>
      <c r="AX9" s="812"/>
      <c r="AY9" s="812"/>
      <c r="AZ9" s="812"/>
      <c r="BA9" s="812"/>
      <c r="BB9" s="812"/>
      <c r="BC9" s="812"/>
      <c r="BD9" s="812"/>
      <c r="BE9" s="812" t="s">
        <v>12</v>
      </c>
      <c r="BF9" s="812"/>
      <c r="BG9" s="812"/>
      <c r="BH9" s="812"/>
      <c r="BI9" s="812"/>
      <c r="BJ9" s="812"/>
      <c r="BK9" s="812"/>
      <c r="BL9" s="812"/>
      <c r="BM9" s="812"/>
      <c r="BN9" s="812"/>
      <c r="BO9" s="812"/>
      <c r="BP9" s="812"/>
      <c r="BQ9" s="812"/>
      <c r="BR9" s="812"/>
      <c r="BS9" s="812"/>
      <c r="BT9" s="812" t="s">
        <v>13</v>
      </c>
      <c r="BU9" s="812"/>
      <c r="BV9" s="812"/>
      <c r="BW9" s="812"/>
      <c r="BX9" s="812"/>
      <c r="BY9" s="812"/>
      <c r="BZ9" s="812"/>
      <c r="CA9" s="812"/>
      <c r="CB9" s="812"/>
      <c r="CC9" s="812"/>
      <c r="CD9" s="812"/>
      <c r="CE9" s="812"/>
      <c r="CF9" s="812"/>
      <c r="CG9" s="812"/>
      <c r="CH9" s="812"/>
      <c r="CI9" s="812"/>
      <c r="CJ9" s="812"/>
      <c r="CK9" s="812"/>
      <c r="CL9" s="812"/>
      <c r="CM9" s="812"/>
      <c r="CN9" s="812"/>
      <c r="CO9" s="812"/>
      <c r="CP9" s="812"/>
      <c r="CQ9" s="812"/>
      <c r="CR9" s="812"/>
      <c r="CS9" s="812"/>
      <c r="CT9" s="469"/>
      <c r="CU9" s="425"/>
      <c r="CV9" s="425"/>
      <c r="CW9" s="425"/>
      <c r="CX9" s="425"/>
      <c r="CY9" s="425"/>
      <c r="CZ9" s="425"/>
      <c r="DA9" s="425"/>
      <c r="DB9" s="425"/>
      <c r="DC9" s="425"/>
      <c r="DD9" s="425"/>
      <c r="DE9" s="425"/>
      <c r="DF9" s="425"/>
      <c r="DG9" s="425"/>
      <c r="DH9" s="425"/>
      <c r="DI9" s="425"/>
      <c r="DJ9" s="425"/>
      <c r="DK9" s="425"/>
      <c r="DL9" s="425"/>
      <c r="DM9" s="425"/>
      <c r="DN9" s="425"/>
      <c r="DO9" s="425"/>
      <c r="DP9" s="425"/>
      <c r="DQ9" s="425"/>
      <c r="DR9" s="425"/>
      <c r="DS9" s="425"/>
      <c r="DT9" s="425"/>
      <c r="DU9" s="425"/>
      <c r="DV9" s="425"/>
      <c r="DW9" s="425"/>
      <c r="DX9" s="425"/>
      <c r="DY9" s="425"/>
      <c r="DZ9" s="425"/>
      <c r="EA9" s="425"/>
      <c r="EB9" s="425"/>
      <c r="EC9" s="425"/>
      <c r="ED9" s="425"/>
      <c r="EE9" s="425"/>
      <c r="EF9" s="425"/>
      <c r="EG9" s="425"/>
      <c r="EH9" s="425"/>
      <c r="EI9" s="425"/>
      <c r="EJ9" s="425"/>
      <c r="EK9" s="425"/>
      <c r="EL9" s="425"/>
      <c r="EM9" s="425"/>
      <c r="EN9" s="425"/>
      <c r="EO9" s="425"/>
      <c r="EP9" s="425"/>
      <c r="EQ9" s="425"/>
      <c r="ER9" s="425"/>
      <c r="ES9" s="425"/>
      <c r="ET9" s="425"/>
      <c r="EU9" s="425"/>
      <c r="EV9" s="425"/>
      <c r="EW9" s="425"/>
      <c r="EX9" s="425"/>
      <c r="EY9" s="425"/>
      <c r="EZ9" s="425"/>
      <c r="FA9" s="425"/>
      <c r="FB9" s="425"/>
      <c r="FC9" s="425"/>
      <c r="FD9" s="425"/>
      <c r="FE9" s="425"/>
      <c r="FF9" s="425"/>
      <c r="FG9" s="425"/>
      <c r="FH9" s="425"/>
      <c r="FI9" s="425"/>
      <c r="FJ9" s="425"/>
      <c r="FK9" s="425"/>
      <c r="FL9" s="425"/>
      <c r="FM9" s="425"/>
      <c r="FN9" s="425"/>
      <c r="FO9" s="425"/>
      <c r="FP9" s="425"/>
      <c r="FQ9" s="425"/>
      <c r="FR9" s="425"/>
      <c r="FS9" s="425"/>
      <c r="FT9" s="425"/>
      <c r="FU9" s="425"/>
      <c r="FV9" s="425"/>
      <c r="FW9" s="425"/>
      <c r="FX9" s="425"/>
      <c r="FY9" s="425"/>
      <c r="FZ9" s="425"/>
      <c r="GA9" s="425"/>
      <c r="GB9" s="425"/>
      <c r="GC9" s="425"/>
      <c r="GD9" s="425"/>
      <c r="GE9" s="425"/>
      <c r="GF9" s="425"/>
      <c r="GG9" s="425"/>
      <c r="GH9" s="425"/>
      <c r="GI9" s="425"/>
      <c r="GJ9" s="425"/>
      <c r="GK9" s="425"/>
      <c r="GL9" s="425"/>
      <c r="GM9" s="425"/>
    </row>
    <row r="10" spans="1:195" s="7" customFormat="1" ht="13.5" customHeight="1" x14ac:dyDescent="0.25">
      <c r="A10" s="847"/>
      <c r="B10" s="847"/>
      <c r="C10" s="847"/>
      <c r="D10" s="847"/>
      <c r="E10" s="847"/>
      <c r="F10" s="847"/>
      <c r="G10" s="847"/>
      <c r="H10" s="850"/>
      <c r="I10" s="847"/>
      <c r="J10" s="847"/>
      <c r="K10" s="847"/>
      <c r="L10" s="847"/>
      <c r="M10" s="847"/>
      <c r="N10" s="847"/>
      <c r="O10" s="847"/>
      <c r="P10" s="847"/>
      <c r="Q10" s="847"/>
      <c r="R10" s="847"/>
      <c r="S10" s="847"/>
      <c r="T10" s="847"/>
      <c r="U10" s="847"/>
      <c r="V10" s="847"/>
      <c r="W10" s="847"/>
      <c r="X10" s="847"/>
      <c r="Y10" s="847"/>
      <c r="Z10" s="847"/>
      <c r="AA10" s="812">
        <v>2019</v>
      </c>
      <c r="AB10" s="812"/>
      <c r="AC10" s="812"/>
      <c r="AD10" s="812"/>
      <c r="AE10" s="812"/>
      <c r="AF10" s="812">
        <v>2020</v>
      </c>
      <c r="AG10" s="812"/>
      <c r="AH10" s="812"/>
      <c r="AI10" s="812"/>
      <c r="AJ10" s="812"/>
      <c r="AK10" s="812">
        <v>2021</v>
      </c>
      <c r="AL10" s="812"/>
      <c r="AM10" s="812"/>
      <c r="AN10" s="812"/>
      <c r="AO10" s="812"/>
      <c r="AP10" s="812">
        <v>2022</v>
      </c>
      <c r="AQ10" s="812"/>
      <c r="AR10" s="812"/>
      <c r="AS10" s="812"/>
      <c r="AT10" s="812"/>
      <c r="AU10" s="812">
        <v>2023</v>
      </c>
      <c r="AV10" s="812"/>
      <c r="AW10" s="812"/>
      <c r="AX10" s="812"/>
      <c r="AY10" s="812"/>
      <c r="AZ10" s="812">
        <v>2024</v>
      </c>
      <c r="BA10" s="812"/>
      <c r="BB10" s="812"/>
      <c r="BC10" s="812"/>
      <c r="BD10" s="812"/>
      <c r="BE10" s="812">
        <v>2025</v>
      </c>
      <c r="BF10" s="812"/>
      <c r="BG10" s="812"/>
      <c r="BH10" s="812"/>
      <c r="BI10" s="812"/>
      <c r="BJ10" s="812">
        <v>2026</v>
      </c>
      <c r="BK10" s="812"/>
      <c r="BL10" s="812"/>
      <c r="BM10" s="812"/>
      <c r="BN10" s="812"/>
      <c r="BO10" s="812">
        <v>2027</v>
      </c>
      <c r="BP10" s="812"/>
      <c r="BQ10" s="812"/>
      <c r="BR10" s="812"/>
      <c r="BS10" s="812"/>
      <c r="BT10" s="812">
        <v>2028</v>
      </c>
      <c r="BU10" s="812"/>
      <c r="BV10" s="812"/>
      <c r="BW10" s="812"/>
      <c r="BX10" s="812"/>
      <c r="BY10" s="812">
        <v>2029</v>
      </c>
      <c r="BZ10" s="812"/>
      <c r="CA10" s="812"/>
      <c r="CB10" s="812"/>
      <c r="CC10" s="812"/>
      <c r="CD10" s="812">
        <v>2030</v>
      </c>
      <c r="CE10" s="812"/>
      <c r="CF10" s="812"/>
      <c r="CG10" s="812"/>
      <c r="CH10" s="812"/>
      <c r="CI10" s="812"/>
      <c r="CJ10" s="812"/>
      <c r="CK10" s="812"/>
      <c r="CL10" s="812"/>
      <c r="CM10" s="812"/>
      <c r="CN10" s="812"/>
      <c r="CO10" s="812"/>
      <c r="CP10" s="812"/>
      <c r="CQ10" s="812"/>
      <c r="CR10" s="812"/>
      <c r="CS10" s="812"/>
      <c r="CT10" s="469"/>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425"/>
      <c r="EM10" s="425"/>
      <c r="EN10" s="425"/>
      <c r="EO10" s="425"/>
      <c r="EP10" s="425"/>
      <c r="EQ10" s="425"/>
      <c r="ER10" s="425"/>
      <c r="ES10" s="425"/>
      <c r="ET10" s="425"/>
      <c r="EU10" s="425"/>
      <c r="EV10" s="425"/>
      <c r="EW10" s="425"/>
      <c r="EX10" s="425"/>
      <c r="EY10" s="425"/>
      <c r="EZ10" s="425"/>
      <c r="FA10" s="425"/>
      <c r="FB10" s="425"/>
      <c r="FC10" s="425"/>
      <c r="FD10" s="425"/>
      <c r="FE10" s="425"/>
      <c r="FF10" s="425"/>
      <c r="FG10" s="425"/>
      <c r="FH10" s="425"/>
      <c r="FI10" s="425"/>
      <c r="FJ10" s="425"/>
      <c r="FK10" s="425"/>
      <c r="FL10" s="425"/>
      <c r="FM10" s="425"/>
      <c r="FN10" s="425"/>
      <c r="FO10" s="425"/>
      <c r="FP10" s="425"/>
      <c r="FQ10" s="425"/>
      <c r="FR10" s="425"/>
      <c r="FS10" s="425"/>
      <c r="FT10" s="425"/>
      <c r="FU10" s="425"/>
      <c r="FV10" s="425"/>
      <c r="FW10" s="425"/>
      <c r="FX10" s="425"/>
      <c r="FY10" s="425"/>
      <c r="FZ10" s="425"/>
      <c r="GA10" s="425"/>
      <c r="GB10" s="425"/>
      <c r="GC10" s="425"/>
      <c r="GD10" s="425"/>
      <c r="GE10" s="425"/>
      <c r="GF10" s="425"/>
      <c r="GG10" s="425"/>
      <c r="GH10" s="425"/>
      <c r="GI10" s="425"/>
      <c r="GJ10" s="425"/>
      <c r="GK10" s="425"/>
      <c r="GL10" s="425"/>
      <c r="GM10" s="425"/>
    </row>
    <row r="11" spans="1:195" s="7" customFormat="1" ht="66.75" customHeight="1" x14ac:dyDescent="0.25">
      <c r="A11" s="847"/>
      <c r="B11" s="847"/>
      <c r="C11" s="847"/>
      <c r="D11" s="847"/>
      <c r="E11" s="847"/>
      <c r="F11" s="847"/>
      <c r="G11" s="847"/>
      <c r="H11" s="850"/>
      <c r="I11" s="710">
        <v>2019</v>
      </c>
      <c r="J11" s="710" t="s">
        <v>1462</v>
      </c>
      <c r="K11" s="710" t="s">
        <v>1463</v>
      </c>
      <c r="L11" s="710" t="s">
        <v>1480</v>
      </c>
      <c r="M11" s="711" t="s">
        <v>1481</v>
      </c>
      <c r="N11" s="712" t="s">
        <v>1611</v>
      </c>
      <c r="O11" s="713" t="s">
        <v>1612</v>
      </c>
      <c r="P11" s="713"/>
      <c r="Q11" s="711">
        <v>2021</v>
      </c>
      <c r="R11" s="711">
        <v>2022</v>
      </c>
      <c r="S11" s="711">
        <v>2023</v>
      </c>
      <c r="T11" s="711">
        <v>2024</v>
      </c>
      <c r="U11" s="711">
        <v>2025</v>
      </c>
      <c r="V11" s="711">
        <v>2026</v>
      </c>
      <c r="W11" s="711">
        <v>2027</v>
      </c>
      <c r="X11" s="711">
        <v>2028</v>
      </c>
      <c r="Y11" s="711">
        <v>2029</v>
      </c>
      <c r="Z11" s="711">
        <v>2030</v>
      </c>
      <c r="AA11" s="284" t="s">
        <v>14</v>
      </c>
      <c r="AB11" s="284" t="s">
        <v>15</v>
      </c>
      <c r="AC11" s="284" t="s">
        <v>16</v>
      </c>
      <c r="AD11" s="284" t="s">
        <v>17</v>
      </c>
      <c r="AE11" s="284" t="s">
        <v>18</v>
      </c>
      <c r="AF11" s="284" t="s">
        <v>14</v>
      </c>
      <c r="AG11" s="284" t="s">
        <v>15</v>
      </c>
      <c r="AH11" s="284" t="s">
        <v>16</v>
      </c>
      <c r="AI11" s="284" t="s">
        <v>17</v>
      </c>
      <c r="AJ11" s="284" t="s">
        <v>18</v>
      </c>
      <c r="AK11" s="284" t="s">
        <v>14</v>
      </c>
      <c r="AL11" s="284" t="s">
        <v>15</v>
      </c>
      <c r="AM11" s="284" t="s">
        <v>16</v>
      </c>
      <c r="AN11" s="284" t="s">
        <v>17</v>
      </c>
      <c r="AO11" s="284" t="s">
        <v>18</v>
      </c>
      <c r="AP11" s="284" t="s">
        <v>14</v>
      </c>
      <c r="AQ11" s="284" t="s">
        <v>15</v>
      </c>
      <c r="AR11" s="284" t="s">
        <v>16</v>
      </c>
      <c r="AS11" s="284" t="s">
        <v>17</v>
      </c>
      <c r="AT11" s="284" t="s">
        <v>18</v>
      </c>
      <c r="AU11" s="284" t="s">
        <v>14</v>
      </c>
      <c r="AV11" s="284" t="s">
        <v>15</v>
      </c>
      <c r="AW11" s="284" t="s">
        <v>16</v>
      </c>
      <c r="AX11" s="284" t="s">
        <v>17</v>
      </c>
      <c r="AY11" s="284" t="s">
        <v>18</v>
      </c>
      <c r="AZ11" s="284" t="s">
        <v>14</v>
      </c>
      <c r="BA11" s="284" t="s">
        <v>15</v>
      </c>
      <c r="BB11" s="284" t="s">
        <v>16</v>
      </c>
      <c r="BC11" s="284" t="s">
        <v>17</v>
      </c>
      <c r="BD11" s="284" t="s">
        <v>18</v>
      </c>
      <c r="BE11" s="284" t="s">
        <v>14</v>
      </c>
      <c r="BF11" s="284" t="s">
        <v>15</v>
      </c>
      <c r="BG11" s="284" t="s">
        <v>16</v>
      </c>
      <c r="BH11" s="284" t="s">
        <v>17</v>
      </c>
      <c r="BI11" s="284" t="s">
        <v>18</v>
      </c>
      <c r="BJ11" s="284" t="s">
        <v>14</v>
      </c>
      <c r="BK11" s="284" t="s">
        <v>15</v>
      </c>
      <c r="BL11" s="284" t="s">
        <v>16</v>
      </c>
      <c r="BM11" s="284" t="s">
        <v>17</v>
      </c>
      <c r="BN11" s="284" t="s">
        <v>18</v>
      </c>
      <c r="BO11" s="284" t="s">
        <v>14</v>
      </c>
      <c r="BP11" s="284" t="s">
        <v>19</v>
      </c>
      <c r="BQ11" s="284" t="s">
        <v>16</v>
      </c>
      <c r="BR11" s="284" t="s">
        <v>17</v>
      </c>
      <c r="BS11" s="284" t="s">
        <v>18</v>
      </c>
      <c r="BT11" s="284" t="s">
        <v>14</v>
      </c>
      <c r="BU11" s="284" t="s">
        <v>19</v>
      </c>
      <c r="BV11" s="284" t="s">
        <v>16</v>
      </c>
      <c r="BW11" s="284" t="s">
        <v>17</v>
      </c>
      <c r="BX11" s="284" t="s">
        <v>18</v>
      </c>
      <c r="BY11" s="284" t="s">
        <v>14</v>
      </c>
      <c r="BZ11" s="284" t="s">
        <v>19</v>
      </c>
      <c r="CA11" s="284" t="s">
        <v>16</v>
      </c>
      <c r="CB11" s="284" t="s">
        <v>17</v>
      </c>
      <c r="CC11" s="284" t="s">
        <v>18</v>
      </c>
      <c r="CD11" s="284" t="s">
        <v>14</v>
      </c>
      <c r="CE11" s="284" t="s">
        <v>19</v>
      </c>
      <c r="CF11" s="284" t="s">
        <v>16</v>
      </c>
      <c r="CG11" s="284" t="s">
        <v>17</v>
      </c>
      <c r="CH11" s="284" t="s">
        <v>18</v>
      </c>
      <c r="CI11" s="284" t="s">
        <v>14</v>
      </c>
      <c r="CJ11" s="288" t="s">
        <v>20</v>
      </c>
      <c r="CK11" s="288" t="s">
        <v>16</v>
      </c>
      <c r="CL11" s="288" t="s">
        <v>17</v>
      </c>
      <c r="CM11" s="288" t="s">
        <v>18</v>
      </c>
      <c r="CN11" s="284" t="s">
        <v>14</v>
      </c>
      <c r="CO11" s="288" t="s">
        <v>20</v>
      </c>
      <c r="CP11" s="288" t="s">
        <v>16</v>
      </c>
      <c r="CQ11" s="288" t="s">
        <v>17</v>
      </c>
      <c r="CR11" s="288" t="s">
        <v>18</v>
      </c>
      <c r="CS11" s="284" t="s">
        <v>14</v>
      </c>
      <c r="CT11" s="470"/>
      <c r="CU11" s="425"/>
      <c r="CV11" s="425"/>
      <c r="CW11" s="425"/>
      <c r="CX11" s="425"/>
      <c r="CY11" s="425"/>
      <c r="CZ11" s="425"/>
      <c r="DA11" s="425"/>
      <c r="DB11" s="425"/>
      <c r="DC11" s="425"/>
      <c r="DD11" s="425"/>
      <c r="DE11" s="425"/>
      <c r="DF11" s="425"/>
      <c r="DG11" s="425"/>
      <c r="DH11" s="425"/>
      <c r="DI11" s="425"/>
      <c r="DJ11" s="425"/>
      <c r="DK11" s="425"/>
      <c r="DL11" s="425"/>
      <c r="DM11" s="425"/>
      <c r="DN11" s="425"/>
      <c r="DO11" s="425"/>
      <c r="DP11" s="425"/>
      <c r="DQ11" s="425"/>
      <c r="DR11" s="425"/>
      <c r="DS11" s="425"/>
      <c r="DT11" s="425"/>
      <c r="DU11" s="425"/>
      <c r="DV11" s="425"/>
      <c r="DW11" s="425"/>
      <c r="DX11" s="425"/>
      <c r="DY11" s="425"/>
      <c r="DZ11" s="425"/>
      <c r="EA11" s="425"/>
      <c r="EB11" s="425"/>
      <c r="EC11" s="425"/>
      <c r="ED11" s="425"/>
      <c r="EE11" s="425"/>
      <c r="EF11" s="425"/>
      <c r="EG11" s="425"/>
      <c r="EH11" s="425"/>
      <c r="EI11" s="425"/>
      <c r="EJ11" s="425"/>
      <c r="EK11" s="425"/>
      <c r="EL11" s="425"/>
      <c r="EM11" s="425"/>
      <c r="EN11" s="425"/>
      <c r="EO11" s="425"/>
      <c r="EP11" s="425"/>
      <c r="EQ11" s="425"/>
      <c r="ER11" s="425"/>
      <c r="ES11" s="425"/>
      <c r="ET11" s="425"/>
      <c r="EU11" s="425"/>
      <c r="EV11" s="425"/>
      <c r="EW11" s="425"/>
      <c r="EX11" s="425"/>
      <c r="EY11" s="425"/>
      <c r="EZ11" s="425"/>
      <c r="FA11" s="425"/>
      <c r="FB11" s="425"/>
      <c r="FC11" s="425"/>
      <c r="FD11" s="425"/>
      <c r="FE11" s="425"/>
      <c r="FF11" s="425"/>
      <c r="FG11" s="425"/>
      <c r="FH11" s="425"/>
      <c r="FI11" s="425"/>
      <c r="FJ11" s="425"/>
      <c r="FK11" s="425"/>
      <c r="FL11" s="425"/>
      <c r="FM11" s="425"/>
      <c r="FN11" s="425"/>
      <c r="FO11" s="425"/>
      <c r="FP11" s="425"/>
      <c r="FQ11" s="425"/>
      <c r="FR11" s="425"/>
      <c r="FS11" s="425"/>
      <c r="FT11" s="425"/>
      <c r="FU11" s="425"/>
      <c r="FV11" s="425"/>
      <c r="FW11" s="425"/>
      <c r="FX11" s="425"/>
      <c r="FY11" s="425"/>
      <c r="FZ11" s="425"/>
      <c r="GA11" s="425"/>
      <c r="GB11" s="425"/>
      <c r="GC11" s="425"/>
      <c r="GD11" s="425"/>
      <c r="GE11" s="425"/>
      <c r="GF11" s="425"/>
      <c r="GG11" s="425"/>
      <c r="GH11" s="425"/>
      <c r="GI11" s="425"/>
      <c r="GJ11" s="425"/>
      <c r="GK11" s="425"/>
      <c r="GL11" s="425"/>
      <c r="GM11" s="425"/>
    </row>
    <row r="12" spans="1:195" s="3" customFormat="1" ht="49.5" customHeight="1" x14ac:dyDescent="0.3">
      <c r="A12" s="365" t="s">
        <v>22</v>
      </c>
      <c r="B12" s="846" t="s">
        <v>23</v>
      </c>
      <c r="C12" s="846"/>
      <c r="D12" s="846"/>
      <c r="E12" s="846"/>
      <c r="F12" s="846"/>
      <c r="G12" s="846"/>
      <c r="H12" s="846"/>
      <c r="I12" s="846"/>
      <c r="J12" s="846"/>
      <c r="K12" s="846"/>
      <c r="L12" s="846"/>
      <c r="M12" s="846"/>
      <c r="N12" s="846"/>
      <c r="O12" s="846"/>
      <c r="P12" s="846"/>
      <c r="Q12" s="846"/>
      <c r="R12" s="846"/>
      <c r="S12" s="846"/>
      <c r="T12" s="846"/>
      <c r="U12" s="846"/>
      <c r="V12" s="846"/>
      <c r="W12" s="846"/>
      <c r="X12" s="846"/>
      <c r="Y12" s="846"/>
      <c r="Z12" s="846"/>
      <c r="AA12" s="846"/>
      <c r="AB12" s="846"/>
      <c r="AC12" s="846"/>
      <c r="AD12" s="846"/>
      <c r="AE12" s="846"/>
      <c r="AF12" s="846"/>
      <c r="AG12" s="846"/>
      <c r="AH12" s="846"/>
      <c r="AI12" s="846"/>
      <c r="AJ12" s="846"/>
      <c r="AK12" s="846"/>
      <c r="AL12" s="846"/>
      <c r="AM12" s="846"/>
      <c r="AN12" s="846"/>
      <c r="AO12" s="846"/>
      <c r="AP12" s="846"/>
      <c r="AQ12" s="846"/>
      <c r="AR12" s="846"/>
      <c r="AS12" s="846"/>
      <c r="AT12" s="846"/>
      <c r="AU12" s="846"/>
      <c r="AV12" s="846"/>
      <c r="AW12" s="846"/>
      <c r="AX12" s="846"/>
      <c r="AY12" s="846"/>
      <c r="AZ12" s="846"/>
      <c r="BA12" s="846"/>
      <c r="BB12" s="846"/>
      <c r="BC12" s="846"/>
      <c r="BD12" s="846"/>
      <c r="BE12" s="846"/>
      <c r="BF12" s="846"/>
      <c r="BG12" s="846"/>
      <c r="BH12" s="846"/>
      <c r="BI12" s="846"/>
      <c r="BJ12" s="846"/>
      <c r="BK12" s="846"/>
      <c r="BL12" s="846"/>
      <c r="BM12" s="846"/>
      <c r="BN12" s="846"/>
      <c r="BO12" s="846"/>
      <c r="BP12" s="846"/>
      <c r="BQ12" s="846"/>
      <c r="BR12" s="846"/>
      <c r="BS12" s="846"/>
      <c r="BT12" s="846"/>
      <c r="BU12" s="846"/>
      <c r="BV12" s="846"/>
      <c r="BW12" s="846"/>
      <c r="BX12" s="846"/>
      <c r="BY12" s="846"/>
      <c r="BZ12" s="846"/>
      <c r="CA12" s="846"/>
      <c r="CB12" s="846"/>
      <c r="CC12" s="846"/>
      <c r="CD12" s="846"/>
      <c r="CE12" s="846"/>
      <c r="CF12" s="846"/>
      <c r="CG12" s="846"/>
      <c r="CH12" s="846"/>
      <c r="CI12" s="846"/>
      <c r="CJ12" s="846"/>
      <c r="CK12" s="846"/>
      <c r="CL12" s="846"/>
      <c r="CM12" s="846"/>
      <c r="CN12" s="271">
        <f t="shared" ref="CN12:CS12" si="0">CN13+CN59</f>
        <v>5386423.1999999993</v>
      </c>
      <c r="CO12" s="271">
        <f t="shared" si="0"/>
        <v>326122.2</v>
      </c>
      <c r="CP12" s="271">
        <f t="shared" si="0"/>
        <v>248758.69999999998</v>
      </c>
      <c r="CQ12" s="271">
        <f t="shared" si="0"/>
        <v>5503.7999999999993</v>
      </c>
      <c r="CR12" s="271">
        <f t="shared" si="0"/>
        <v>411344.4</v>
      </c>
      <c r="CS12" s="273">
        <f t="shared" si="0"/>
        <v>4394694.0999999996</v>
      </c>
      <c r="CT12" s="471"/>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row>
    <row r="13" spans="1:195" s="6" customFormat="1" ht="216" x14ac:dyDescent="0.3">
      <c r="A13" s="796" t="s">
        <v>24</v>
      </c>
      <c r="B13" s="806" t="s">
        <v>25</v>
      </c>
      <c r="C13" s="807"/>
      <c r="D13" s="807"/>
      <c r="E13" s="808"/>
      <c r="F13" s="39" t="s">
        <v>986</v>
      </c>
      <c r="G13" s="40" t="s">
        <v>62</v>
      </c>
      <c r="H13" s="139">
        <v>76.5</v>
      </c>
      <c r="I13" s="139">
        <v>76.900000000000006</v>
      </c>
      <c r="J13" s="139">
        <v>77.5</v>
      </c>
      <c r="K13" s="139">
        <v>76.7</v>
      </c>
      <c r="L13" s="139">
        <v>76.8</v>
      </c>
      <c r="M13" s="642">
        <v>79.900000000000006</v>
      </c>
      <c r="N13" s="591" t="s">
        <v>1484</v>
      </c>
      <c r="O13" s="440"/>
      <c r="P13" s="440"/>
      <c r="Q13" s="139">
        <v>76.8</v>
      </c>
      <c r="R13" s="139">
        <v>76.2</v>
      </c>
      <c r="S13" s="139">
        <v>75.5</v>
      </c>
      <c r="T13" s="139">
        <v>74.900000000000006</v>
      </c>
      <c r="U13" s="139">
        <v>74.3</v>
      </c>
      <c r="V13" s="139">
        <v>75.900000000000006</v>
      </c>
      <c r="W13" s="139">
        <v>76.8</v>
      </c>
      <c r="X13" s="139">
        <v>76.900000000000006</v>
      </c>
      <c r="Y13" s="139">
        <v>75.599999999999994</v>
      </c>
      <c r="Z13" s="139">
        <v>77</v>
      </c>
      <c r="AA13" s="302"/>
      <c r="AB13" s="302"/>
      <c r="AC13" s="302"/>
      <c r="AD13" s="302"/>
      <c r="AE13" s="302"/>
      <c r="AF13" s="302"/>
      <c r="AG13" s="302"/>
      <c r="AH13" s="302"/>
      <c r="AI13" s="302"/>
      <c r="AJ13" s="302"/>
      <c r="AK13" s="302"/>
      <c r="AL13" s="302"/>
      <c r="AM13" s="302"/>
      <c r="AN13" s="302"/>
      <c r="AO13" s="302"/>
      <c r="AP13" s="329"/>
      <c r="AQ13" s="302"/>
      <c r="AR13" s="302"/>
      <c r="AS13" s="302"/>
      <c r="AT13" s="302"/>
      <c r="AU13" s="329"/>
      <c r="AV13" s="302"/>
      <c r="AW13" s="302"/>
      <c r="AX13" s="302"/>
      <c r="AY13" s="302"/>
      <c r="AZ13" s="329"/>
      <c r="BA13" s="302"/>
      <c r="BB13" s="302"/>
      <c r="BC13" s="302"/>
      <c r="BD13" s="302"/>
      <c r="BE13" s="329"/>
      <c r="BF13" s="302"/>
      <c r="BG13" s="302"/>
      <c r="BH13" s="302"/>
      <c r="BI13" s="302"/>
      <c r="BJ13" s="329"/>
      <c r="BK13" s="302"/>
      <c r="BL13" s="302"/>
      <c r="BM13" s="302"/>
      <c r="BN13" s="302"/>
      <c r="BO13" s="329"/>
      <c r="BP13" s="302"/>
      <c r="BQ13" s="302"/>
      <c r="BR13" s="302"/>
      <c r="BS13" s="302"/>
      <c r="BT13" s="329"/>
      <c r="BU13" s="302"/>
      <c r="BV13" s="302"/>
      <c r="BW13" s="302"/>
      <c r="BX13" s="302"/>
      <c r="BY13" s="329"/>
      <c r="BZ13" s="302"/>
      <c r="CA13" s="302"/>
      <c r="CB13" s="302"/>
      <c r="CC13" s="302"/>
      <c r="CD13" s="329"/>
      <c r="CE13" s="302"/>
      <c r="CF13" s="302"/>
      <c r="CG13" s="302"/>
      <c r="CH13" s="302"/>
      <c r="CI13" s="302"/>
      <c r="CJ13" s="302"/>
      <c r="CK13" s="302"/>
      <c r="CL13" s="302"/>
      <c r="CM13" s="302"/>
      <c r="CN13" s="773">
        <f t="shared" ref="CN13:CS13" si="1">SUM(CN15:CN58)</f>
        <v>5364029.5999999996</v>
      </c>
      <c r="CO13" s="773">
        <f t="shared" si="1"/>
        <v>326122.2</v>
      </c>
      <c r="CP13" s="773">
        <f t="shared" si="1"/>
        <v>242968.9</v>
      </c>
      <c r="CQ13" s="773">
        <f t="shared" si="1"/>
        <v>0</v>
      </c>
      <c r="CR13" s="773">
        <f t="shared" si="1"/>
        <v>400244.4</v>
      </c>
      <c r="CS13" s="773">
        <f t="shared" si="1"/>
        <v>4394694.0999999996</v>
      </c>
      <c r="CT13" s="471"/>
    </row>
    <row r="14" spans="1:195" s="6" customFormat="1" ht="192" x14ac:dyDescent="0.3">
      <c r="A14" s="797"/>
      <c r="B14" s="809"/>
      <c r="C14" s="810"/>
      <c r="D14" s="810"/>
      <c r="E14" s="811"/>
      <c r="F14" s="39" t="s">
        <v>991</v>
      </c>
      <c r="G14" s="40" t="s">
        <v>62</v>
      </c>
      <c r="H14" s="578">
        <v>100</v>
      </c>
      <c r="I14" s="578">
        <v>100</v>
      </c>
      <c r="J14" s="633">
        <v>100</v>
      </c>
      <c r="K14" s="578">
        <v>100</v>
      </c>
      <c r="L14" s="633">
        <v>100</v>
      </c>
      <c r="M14" s="705">
        <v>100</v>
      </c>
      <c r="N14" s="591"/>
      <c r="O14" s="615" t="s">
        <v>1648</v>
      </c>
      <c r="P14" s="440"/>
      <c r="Q14" s="303">
        <v>100</v>
      </c>
      <c r="R14" s="303">
        <v>100</v>
      </c>
      <c r="S14" s="303">
        <v>100</v>
      </c>
      <c r="T14" s="303">
        <v>100</v>
      </c>
      <c r="U14" s="303">
        <v>100</v>
      </c>
      <c r="V14" s="303">
        <v>100</v>
      </c>
      <c r="W14" s="303">
        <v>100</v>
      </c>
      <c r="X14" s="303">
        <v>100</v>
      </c>
      <c r="Y14" s="303">
        <v>100</v>
      </c>
      <c r="Z14" s="303">
        <v>100</v>
      </c>
      <c r="AA14" s="298"/>
      <c r="AB14" s="298"/>
      <c r="AC14" s="298"/>
      <c r="AD14" s="298"/>
      <c r="AE14" s="298"/>
      <c r="AF14" s="298"/>
      <c r="AG14" s="298"/>
      <c r="AH14" s="298"/>
      <c r="AI14" s="298"/>
      <c r="AJ14" s="298"/>
      <c r="AK14" s="298"/>
      <c r="AL14" s="298"/>
      <c r="AM14" s="298"/>
      <c r="AN14" s="298"/>
      <c r="AO14" s="298"/>
      <c r="AP14" s="330"/>
      <c r="AQ14" s="298"/>
      <c r="AR14" s="298"/>
      <c r="AS14" s="298"/>
      <c r="AT14" s="298"/>
      <c r="AU14" s="330"/>
      <c r="AV14" s="298"/>
      <c r="AW14" s="298"/>
      <c r="AX14" s="298"/>
      <c r="AY14" s="298"/>
      <c r="AZ14" s="330"/>
      <c r="BA14" s="298"/>
      <c r="BB14" s="298"/>
      <c r="BC14" s="298"/>
      <c r="BD14" s="298"/>
      <c r="BE14" s="330"/>
      <c r="BF14" s="298"/>
      <c r="BG14" s="298"/>
      <c r="BH14" s="298"/>
      <c r="BI14" s="298"/>
      <c r="BJ14" s="330"/>
      <c r="BK14" s="298"/>
      <c r="BL14" s="298"/>
      <c r="BM14" s="298"/>
      <c r="BN14" s="298"/>
      <c r="BO14" s="330"/>
      <c r="BP14" s="298"/>
      <c r="BQ14" s="298"/>
      <c r="BR14" s="298"/>
      <c r="BS14" s="298"/>
      <c r="BT14" s="330"/>
      <c r="BU14" s="298"/>
      <c r="BV14" s="298"/>
      <c r="BW14" s="298"/>
      <c r="BX14" s="298"/>
      <c r="BY14" s="330"/>
      <c r="BZ14" s="298"/>
      <c r="CA14" s="298"/>
      <c r="CB14" s="298"/>
      <c r="CC14" s="298"/>
      <c r="CD14" s="330"/>
      <c r="CE14" s="298"/>
      <c r="CF14" s="298"/>
      <c r="CG14" s="298"/>
      <c r="CH14" s="298"/>
      <c r="CI14" s="298"/>
      <c r="CJ14" s="298"/>
      <c r="CK14" s="298"/>
      <c r="CL14" s="298"/>
      <c r="CM14" s="298"/>
      <c r="CN14" s="774"/>
      <c r="CO14" s="774"/>
      <c r="CP14" s="774"/>
      <c r="CQ14" s="774"/>
      <c r="CR14" s="774"/>
      <c r="CS14" s="774"/>
      <c r="CT14" s="471"/>
    </row>
    <row r="15" spans="1:195" s="6" customFormat="1" ht="169.5" customHeight="1" x14ac:dyDescent="0.3">
      <c r="A15" s="488" t="s">
        <v>81</v>
      </c>
      <c r="B15" s="493" t="s">
        <v>27</v>
      </c>
      <c r="C15" s="483" t="s">
        <v>1023</v>
      </c>
      <c r="D15" s="495" t="s">
        <v>28</v>
      </c>
      <c r="E15" s="482" t="s">
        <v>29</v>
      </c>
      <c r="F15" s="39" t="s">
        <v>30</v>
      </c>
      <c r="G15" s="40" t="s">
        <v>31</v>
      </c>
      <c r="H15" s="533"/>
      <c r="I15" s="503"/>
      <c r="J15" s="637">
        <v>236</v>
      </c>
      <c r="K15" s="503" t="s">
        <v>140</v>
      </c>
      <c r="L15" s="637"/>
      <c r="M15" s="643">
        <v>236</v>
      </c>
      <c r="N15" s="592" t="s">
        <v>1736</v>
      </c>
      <c r="O15" s="615" t="s">
        <v>1737</v>
      </c>
      <c r="P15" s="556"/>
      <c r="Q15" s="503"/>
      <c r="R15" s="503"/>
      <c r="S15" s="503"/>
      <c r="T15" s="503"/>
      <c r="U15" s="503"/>
      <c r="V15" s="503"/>
      <c r="W15" s="503"/>
      <c r="X15" s="503"/>
      <c r="Y15" s="503"/>
      <c r="Z15" s="503"/>
      <c r="AA15" s="489">
        <f>SUM(AB15:AE15)</f>
        <v>101836.6</v>
      </c>
      <c r="AB15" s="486">
        <v>101836.6</v>
      </c>
      <c r="AC15" s="486"/>
      <c r="AD15" s="486"/>
      <c r="AE15" s="486"/>
      <c r="AF15" s="489">
        <f>SUM(AG15:AJ15)</f>
        <v>81242.100000000006</v>
      </c>
      <c r="AG15" s="486">
        <v>81242.100000000006</v>
      </c>
      <c r="AH15" s="486"/>
      <c r="AI15" s="486"/>
      <c r="AJ15" s="486"/>
      <c r="AK15" s="486"/>
      <c r="AL15" s="486"/>
      <c r="AM15" s="486"/>
      <c r="AN15" s="486"/>
      <c r="AO15" s="486"/>
      <c r="AP15" s="489"/>
      <c r="AQ15" s="486"/>
      <c r="AR15" s="486"/>
      <c r="AS15" s="486"/>
      <c r="AT15" s="486"/>
      <c r="AU15" s="489"/>
      <c r="AV15" s="486"/>
      <c r="AW15" s="486"/>
      <c r="AX15" s="486"/>
      <c r="AY15" s="486"/>
      <c r="AZ15" s="489"/>
      <c r="BA15" s="486"/>
      <c r="BB15" s="486"/>
      <c r="BC15" s="486"/>
      <c r="BD15" s="486"/>
      <c r="BE15" s="489"/>
      <c r="BF15" s="486"/>
      <c r="BG15" s="486"/>
      <c r="BH15" s="486"/>
      <c r="BI15" s="486"/>
      <c r="BJ15" s="489"/>
      <c r="BK15" s="486"/>
      <c r="BL15" s="486"/>
      <c r="BM15" s="486"/>
      <c r="BN15" s="486"/>
      <c r="BO15" s="489"/>
      <c r="BP15" s="486"/>
      <c r="BQ15" s="486"/>
      <c r="BR15" s="486"/>
      <c r="BS15" s="486"/>
      <c r="BT15" s="489"/>
      <c r="BU15" s="486"/>
      <c r="BV15" s="486"/>
      <c r="BW15" s="486"/>
      <c r="BX15" s="486"/>
      <c r="BY15" s="489"/>
      <c r="BZ15" s="486"/>
      <c r="CA15" s="486"/>
      <c r="CB15" s="486"/>
      <c r="CC15" s="486"/>
      <c r="CD15" s="489"/>
      <c r="CE15" s="486"/>
      <c r="CF15" s="486"/>
      <c r="CG15" s="486"/>
      <c r="CH15" s="486"/>
      <c r="CI15" s="489">
        <f>AA15+AF15+AK15</f>
        <v>183078.7</v>
      </c>
      <c r="CJ15" s="486">
        <f>AB15+AG15+AL15</f>
        <v>183078.7</v>
      </c>
      <c r="CK15" s="486">
        <f t="shared" ref="CK15:CL15" si="2">AC15+AH15+AM15</f>
        <v>0</v>
      </c>
      <c r="CL15" s="486">
        <f t="shared" si="2"/>
        <v>0</v>
      </c>
      <c r="CM15" s="486">
        <f>AE15+AJ15+AO15</f>
        <v>0</v>
      </c>
      <c r="CN15" s="489">
        <f t="shared" ref="CN15:CR21" si="3">AA15+AF15+AK15+AP15+AU15+AZ15+BE15+BJ15+BO15+BT15+BY15+CD15</f>
        <v>183078.7</v>
      </c>
      <c r="CO15" s="486">
        <f t="shared" si="3"/>
        <v>183078.7</v>
      </c>
      <c r="CP15" s="486">
        <f t="shared" si="3"/>
        <v>0</v>
      </c>
      <c r="CQ15" s="486">
        <f t="shared" si="3"/>
        <v>0</v>
      </c>
      <c r="CR15" s="486">
        <f t="shared" si="3"/>
        <v>0</v>
      </c>
      <c r="CS15" s="489">
        <f>CN15-CO15-CP15-CQ15-CR15</f>
        <v>0</v>
      </c>
      <c r="CT15" s="471"/>
    </row>
    <row r="16" spans="1:195" s="6" customFormat="1" ht="120" x14ac:dyDescent="0.3">
      <c r="A16" s="685" t="s">
        <v>50</v>
      </c>
      <c r="B16" s="679" t="s">
        <v>33</v>
      </c>
      <c r="C16" s="676" t="s">
        <v>1196</v>
      </c>
      <c r="D16" s="701" t="s">
        <v>28</v>
      </c>
      <c r="E16" s="677" t="s">
        <v>34</v>
      </c>
      <c r="F16" s="39" t="s">
        <v>30</v>
      </c>
      <c r="G16" s="40" t="s">
        <v>31</v>
      </c>
      <c r="H16" s="690"/>
      <c r="I16" s="690">
        <v>217</v>
      </c>
      <c r="J16" s="690"/>
      <c r="K16" s="509" t="s">
        <v>1467</v>
      </c>
      <c r="L16" s="690"/>
      <c r="M16" s="644"/>
      <c r="N16" s="215" t="s">
        <v>1485</v>
      </c>
      <c r="O16" s="684" t="s">
        <v>1722</v>
      </c>
      <c r="P16" s="215"/>
      <c r="Q16" s="690"/>
      <c r="R16" s="690"/>
      <c r="S16" s="690"/>
      <c r="T16" s="690"/>
      <c r="U16" s="690"/>
      <c r="V16" s="690"/>
      <c r="W16" s="690"/>
      <c r="X16" s="690"/>
      <c r="Y16" s="690"/>
      <c r="Z16" s="690"/>
      <c r="AA16" s="686">
        <f>SUM(AB16:AE16)</f>
        <v>60885.2</v>
      </c>
      <c r="AB16" s="688">
        <v>60885.2</v>
      </c>
      <c r="AC16" s="688"/>
      <c r="AD16" s="688"/>
      <c r="AE16" s="688"/>
      <c r="AF16" s="688"/>
      <c r="AG16" s="688"/>
      <c r="AH16" s="688"/>
      <c r="AI16" s="688"/>
      <c r="AJ16" s="688"/>
      <c r="AK16" s="688"/>
      <c r="AL16" s="688"/>
      <c r="AM16" s="688"/>
      <c r="AN16" s="688"/>
      <c r="AO16" s="688"/>
      <c r="AP16" s="686"/>
      <c r="AQ16" s="688"/>
      <c r="AR16" s="688"/>
      <c r="AS16" s="688"/>
      <c r="AT16" s="688"/>
      <c r="AU16" s="686"/>
      <c r="AV16" s="688"/>
      <c r="AW16" s="688"/>
      <c r="AX16" s="688"/>
      <c r="AY16" s="688"/>
      <c r="AZ16" s="686"/>
      <c r="BA16" s="688"/>
      <c r="BB16" s="688"/>
      <c r="BC16" s="688"/>
      <c r="BD16" s="688"/>
      <c r="BE16" s="686"/>
      <c r="BF16" s="688"/>
      <c r="BG16" s="688"/>
      <c r="BH16" s="688"/>
      <c r="BI16" s="688"/>
      <c r="BJ16" s="686"/>
      <c r="BK16" s="688"/>
      <c r="BL16" s="688"/>
      <c r="BM16" s="688"/>
      <c r="BN16" s="688"/>
      <c r="BO16" s="686"/>
      <c r="BP16" s="688"/>
      <c r="BQ16" s="688"/>
      <c r="BR16" s="688"/>
      <c r="BS16" s="688"/>
      <c r="BT16" s="686"/>
      <c r="BU16" s="688"/>
      <c r="BV16" s="688"/>
      <c r="BW16" s="688"/>
      <c r="BX16" s="688"/>
      <c r="BY16" s="686"/>
      <c r="BZ16" s="688"/>
      <c r="CA16" s="688"/>
      <c r="CB16" s="688"/>
      <c r="CC16" s="688"/>
      <c r="CD16" s="686"/>
      <c r="CE16" s="688"/>
      <c r="CF16" s="688"/>
      <c r="CG16" s="688"/>
      <c r="CH16" s="688"/>
      <c r="CI16" s="686">
        <f t="shared" ref="CI16:CI25" si="4">AA16+AF16+AK16</f>
        <v>60885.2</v>
      </c>
      <c r="CJ16" s="688">
        <f t="shared" ref="CJ16:CJ25" si="5">AB16+AG16+AL16</f>
        <v>60885.2</v>
      </c>
      <c r="CK16" s="688">
        <f t="shared" ref="CK16:CK25" si="6">AC16+AH16+AM16</f>
        <v>0</v>
      </c>
      <c r="CL16" s="688">
        <f t="shared" ref="CL16:CL25" si="7">AD16+AI16+AN16</f>
        <v>0</v>
      </c>
      <c r="CM16" s="688">
        <f t="shared" ref="CM16:CM25" si="8">AE16+AJ16+AO16</f>
        <v>0</v>
      </c>
      <c r="CN16" s="686">
        <f t="shared" si="3"/>
        <v>60885.2</v>
      </c>
      <c r="CO16" s="688">
        <f t="shared" si="3"/>
        <v>60885.2</v>
      </c>
      <c r="CP16" s="688">
        <f t="shared" si="3"/>
        <v>0</v>
      </c>
      <c r="CQ16" s="688">
        <f t="shared" si="3"/>
        <v>0</v>
      </c>
      <c r="CR16" s="688">
        <f t="shared" si="3"/>
        <v>0</v>
      </c>
      <c r="CS16" s="686">
        <f t="shared" ref="CS16" si="9">CN16-CO16-CP16-CQ16-CR16</f>
        <v>0</v>
      </c>
      <c r="CT16" s="471"/>
    </row>
    <row r="17" spans="1:98" s="6" customFormat="1" ht="120" x14ac:dyDescent="0.3">
      <c r="A17" s="685" t="s">
        <v>103</v>
      </c>
      <c r="B17" s="679" t="s">
        <v>38</v>
      </c>
      <c r="C17" s="676" t="s">
        <v>851</v>
      </c>
      <c r="D17" s="701" t="s">
        <v>28</v>
      </c>
      <c r="E17" s="677" t="s">
        <v>39</v>
      </c>
      <c r="F17" s="39" t="s">
        <v>30</v>
      </c>
      <c r="G17" s="40" t="s">
        <v>31</v>
      </c>
      <c r="H17" s="690"/>
      <c r="I17" s="690"/>
      <c r="J17" s="690"/>
      <c r="K17" s="690"/>
      <c r="L17" s="690"/>
      <c r="M17" s="643"/>
      <c r="N17" s="684"/>
      <c r="O17" s="684" t="s">
        <v>1734</v>
      </c>
      <c r="P17" s="684"/>
      <c r="Q17" s="690"/>
      <c r="R17" s="690"/>
      <c r="S17" s="690"/>
      <c r="T17" s="690"/>
      <c r="U17" s="690">
        <v>270</v>
      </c>
      <c r="V17" s="690"/>
      <c r="W17" s="690"/>
      <c r="X17" s="690"/>
      <c r="Y17" s="690"/>
      <c r="Z17" s="690"/>
      <c r="AA17" s="688"/>
      <c r="AB17" s="688"/>
      <c r="AC17" s="688"/>
      <c r="AD17" s="688"/>
      <c r="AE17" s="688"/>
      <c r="AF17" s="688"/>
      <c r="AG17" s="688"/>
      <c r="AH17" s="688"/>
      <c r="AI17" s="688"/>
      <c r="AJ17" s="688"/>
      <c r="AK17" s="688"/>
      <c r="AL17" s="688"/>
      <c r="AM17" s="688"/>
      <c r="AN17" s="688"/>
      <c r="AO17" s="688"/>
      <c r="AP17" s="686">
        <v>7823.4</v>
      </c>
      <c r="AQ17" s="688"/>
      <c r="AR17" s="688"/>
      <c r="AS17" s="688"/>
      <c r="AT17" s="688"/>
      <c r="AU17" s="686">
        <v>26077.9</v>
      </c>
      <c r="AV17" s="688"/>
      <c r="AW17" s="688"/>
      <c r="AX17" s="688"/>
      <c r="AY17" s="688"/>
      <c r="AZ17" s="686">
        <v>156467.5</v>
      </c>
      <c r="BA17" s="688"/>
      <c r="BB17" s="688"/>
      <c r="BC17" s="688"/>
      <c r="BD17" s="688"/>
      <c r="BE17" s="686">
        <v>70410.399999999994</v>
      </c>
      <c r="BF17" s="688"/>
      <c r="BG17" s="688"/>
      <c r="BH17" s="688"/>
      <c r="BI17" s="688"/>
      <c r="BJ17" s="686"/>
      <c r="BK17" s="688"/>
      <c r="BL17" s="688"/>
      <c r="BM17" s="688"/>
      <c r="BN17" s="688"/>
      <c r="BO17" s="686"/>
      <c r="BP17" s="688"/>
      <c r="BQ17" s="688"/>
      <c r="BR17" s="688"/>
      <c r="BS17" s="688"/>
      <c r="BT17" s="686"/>
      <c r="BU17" s="688"/>
      <c r="BV17" s="688"/>
      <c r="BW17" s="688"/>
      <c r="BX17" s="688"/>
      <c r="BY17" s="686"/>
      <c r="BZ17" s="688"/>
      <c r="CA17" s="688"/>
      <c r="CB17" s="688"/>
      <c r="CC17" s="688"/>
      <c r="CD17" s="686"/>
      <c r="CE17" s="688"/>
      <c r="CF17" s="688"/>
      <c r="CG17" s="688"/>
      <c r="CH17" s="688"/>
      <c r="CI17" s="686">
        <f t="shared" si="4"/>
        <v>0</v>
      </c>
      <c r="CJ17" s="688">
        <f t="shared" si="5"/>
        <v>0</v>
      </c>
      <c r="CK17" s="688">
        <f t="shared" si="6"/>
        <v>0</v>
      </c>
      <c r="CL17" s="688">
        <f t="shared" si="7"/>
        <v>0</v>
      </c>
      <c r="CM17" s="688">
        <f t="shared" si="8"/>
        <v>0</v>
      </c>
      <c r="CN17" s="686">
        <f t="shared" si="3"/>
        <v>260779.19999999998</v>
      </c>
      <c r="CO17" s="688">
        <f t="shared" si="3"/>
        <v>0</v>
      </c>
      <c r="CP17" s="688">
        <f t="shared" si="3"/>
        <v>0</v>
      </c>
      <c r="CQ17" s="688">
        <f t="shared" si="3"/>
        <v>0</v>
      </c>
      <c r="CR17" s="688">
        <f t="shared" si="3"/>
        <v>0</v>
      </c>
      <c r="CS17" s="686">
        <f>CN17-CO17-CP17-CQ17-CR17</f>
        <v>260779.19999999998</v>
      </c>
      <c r="CT17" s="471"/>
    </row>
    <row r="18" spans="1:98" s="6" customFormat="1" ht="147" x14ac:dyDescent="0.3">
      <c r="A18" s="685" t="s">
        <v>107</v>
      </c>
      <c r="B18" s="679" t="s">
        <v>33</v>
      </c>
      <c r="C18" s="676" t="s">
        <v>1198</v>
      </c>
      <c r="D18" s="701" t="s">
        <v>28</v>
      </c>
      <c r="E18" s="677" t="s">
        <v>41</v>
      </c>
      <c r="F18" s="39" t="s">
        <v>30</v>
      </c>
      <c r="G18" s="40" t="s">
        <v>31</v>
      </c>
      <c r="H18" s="690"/>
      <c r="I18" s="690"/>
      <c r="J18" s="690"/>
      <c r="K18" s="690"/>
      <c r="L18" s="690"/>
      <c r="M18" s="643"/>
      <c r="N18" s="684"/>
      <c r="O18" s="684" t="s">
        <v>1733</v>
      </c>
      <c r="P18" s="684"/>
      <c r="Q18" s="690"/>
      <c r="R18" s="690"/>
      <c r="S18" s="690"/>
      <c r="T18" s="690"/>
      <c r="U18" s="690"/>
      <c r="V18" s="690">
        <v>270</v>
      </c>
      <c r="W18" s="690"/>
      <c r="X18" s="690"/>
      <c r="Y18" s="690"/>
      <c r="Z18" s="690"/>
      <c r="AA18" s="688"/>
      <c r="AB18" s="688"/>
      <c r="AC18" s="688"/>
      <c r="AD18" s="688"/>
      <c r="AE18" s="688"/>
      <c r="AF18" s="688"/>
      <c r="AG18" s="688"/>
      <c r="AH18" s="688"/>
      <c r="AI18" s="688"/>
      <c r="AJ18" s="688"/>
      <c r="AK18" s="688"/>
      <c r="AL18" s="688"/>
      <c r="AM18" s="688"/>
      <c r="AN18" s="688"/>
      <c r="AO18" s="688"/>
      <c r="AP18" s="686">
        <v>13382.7</v>
      </c>
      <c r="AQ18" s="688"/>
      <c r="AR18" s="688"/>
      <c r="AS18" s="688"/>
      <c r="AT18" s="688"/>
      <c r="AU18" s="686">
        <v>66913.600000000006</v>
      </c>
      <c r="AV18" s="688"/>
      <c r="AW18" s="688"/>
      <c r="AX18" s="688"/>
      <c r="AY18" s="688"/>
      <c r="AZ18" s="686">
        <v>334567.8</v>
      </c>
      <c r="BA18" s="688"/>
      <c r="BB18" s="688"/>
      <c r="BC18" s="688"/>
      <c r="BD18" s="688"/>
      <c r="BE18" s="686">
        <v>187358</v>
      </c>
      <c r="BF18" s="688"/>
      <c r="BG18" s="688"/>
      <c r="BH18" s="688"/>
      <c r="BI18" s="688"/>
      <c r="BJ18" s="686">
        <v>66913.5</v>
      </c>
      <c r="BK18" s="688"/>
      <c r="BL18" s="688"/>
      <c r="BM18" s="688"/>
      <c r="BN18" s="688"/>
      <c r="BO18" s="686"/>
      <c r="BP18" s="688"/>
      <c r="BQ18" s="688"/>
      <c r="BR18" s="688"/>
      <c r="BS18" s="688"/>
      <c r="BT18" s="686"/>
      <c r="BU18" s="688"/>
      <c r="BV18" s="688"/>
      <c r="BW18" s="688"/>
      <c r="BX18" s="688"/>
      <c r="BY18" s="686"/>
      <c r="BZ18" s="688"/>
      <c r="CA18" s="688"/>
      <c r="CB18" s="688"/>
      <c r="CC18" s="688"/>
      <c r="CD18" s="686"/>
      <c r="CE18" s="688"/>
      <c r="CF18" s="688"/>
      <c r="CG18" s="688"/>
      <c r="CH18" s="688"/>
      <c r="CI18" s="686">
        <f t="shared" si="4"/>
        <v>0</v>
      </c>
      <c r="CJ18" s="688">
        <f t="shared" si="5"/>
        <v>0</v>
      </c>
      <c r="CK18" s="688">
        <f t="shared" si="6"/>
        <v>0</v>
      </c>
      <c r="CL18" s="688">
        <f t="shared" si="7"/>
        <v>0</v>
      </c>
      <c r="CM18" s="688">
        <f t="shared" si="8"/>
        <v>0</v>
      </c>
      <c r="CN18" s="686">
        <f t="shared" si="3"/>
        <v>669135.6</v>
      </c>
      <c r="CO18" s="688">
        <f t="shared" si="3"/>
        <v>0</v>
      </c>
      <c r="CP18" s="688">
        <f t="shared" si="3"/>
        <v>0</v>
      </c>
      <c r="CQ18" s="688">
        <f t="shared" si="3"/>
        <v>0</v>
      </c>
      <c r="CR18" s="688">
        <f t="shared" si="3"/>
        <v>0</v>
      </c>
      <c r="CS18" s="686">
        <f t="shared" ref="CS18:CS24" si="10">CN18-CO18-CP18-CQ18-CR18</f>
        <v>669135.6</v>
      </c>
      <c r="CT18" s="471"/>
    </row>
    <row r="19" spans="1:98" s="6" customFormat="1" ht="120" x14ac:dyDescent="0.3">
      <c r="A19" s="300" t="s">
        <v>82</v>
      </c>
      <c r="B19" s="299" t="s">
        <v>27</v>
      </c>
      <c r="C19" s="299" t="s">
        <v>852</v>
      </c>
      <c r="D19" s="301" t="s">
        <v>28</v>
      </c>
      <c r="E19" s="295" t="s">
        <v>43</v>
      </c>
      <c r="F19" s="39" t="s">
        <v>30</v>
      </c>
      <c r="G19" s="40" t="s">
        <v>31</v>
      </c>
      <c r="H19" s="533"/>
      <c r="I19" s="303"/>
      <c r="J19" s="637"/>
      <c r="K19" s="303"/>
      <c r="L19" s="637"/>
      <c r="M19" s="643"/>
      <c r="N19" s="592"/>
      <c r="O19" s="615"/>
      <c r="P19" s="556"/>
      <c r="Q19" s="303"/>
      <c r="R19" s="303"/>
      <c r="S19" s="303"/>
      <c r="T19" s="303"/>
      <c r="U19" s="303"/>
      <c r="V19" s="303"/>
      <c r="W19" s="303"/>
      <c r="X19" s="303"/>
      <c r="Y19" s="303"/>
      <c r="Z19" s="303">
        <v>270</v>
      </c>
      <c r="AA19" s="296"/>
      <c r="AB19" s="296"/>
      <c r="AC19" s="296"/>
      <c r="AD19" s="296"/>
      <c r="AE19" s="296"/>
      <c r="AF19" s="296"/>
      <c r="AG19" s="296"/>
      <c r="AH19" s="296"/>
      <c r="AI19" s="296"/>
      <c r="AJ19" s="296"/>
      <c r="AK19" s="296"/>
      <c r="AL19" s="296"/>
      <c r="AM19" s="296"/>
      <c r="AN19" s="296"/>
      <c r="AO19" s="296"/>
      <c r="AP19" s="297"/>
      <c r="AQ19" s="296"/>
      <c r="AR19" s="296"/>
      <c r="AS19" s="296"/>
      <c r="AT19" s="296"/>
      <c r="AU19" s="297"/>
      <c r="AV19" s="296"/>
      <c r="AW19" s="296"/>
      <c r="AX19" s="296"/>
      <c r="AY19" s="296"/>
      <c r="AZ19" s="297"/>
      <c r="BA19" s="296"/>
      <c r="BB19" s="296"/>
      <c r="BC19" s="296"/>
      <c r="BD19" s="296"/>
      <c r="BE19" s="297"/>
      <c r="BF19" s="296"/>
      <c r="BG19" s="296"/>
      <c r="BH19" s="296"/>
      <c r="BI19" s="296"/>
      <c r="BJ19" s="297">
        <v>14051.8</v>
      </c>
      <c r="BK19" s="296"/>
      <c r="BL19" s="296"/>
      <c r="BM19" s="296"/>
      <c r="BN19" s="296"/>
      <c r="BO19" s="297">
        <v>70259.199999999997</v>
      </c>
      <c r="BP19" s="296"/>
      <c r="BQ19" s="296"/>
      <c r="BR19" s="296"/>
      <c r="BS19" s="296"/>
      <c r="BT19" s="297">
        <v>351296.2</v>
      </c>
      <c r="BU19" s="296"/>
      <c r="BV19" s="296"/>
      <c r="BW19" s="296"/>
      <c r="BX19" s="296"/>
      <c r="BY19" s="297">
        <v>196725.9</v>
      </c>
      <c r="BZ19" s="296"/>
      <c r="CA19" s="296"/>
      <c r="CB19" s="296"/>
      <c r="CC19" s="296"/>
      <c r="CD19" s="297">
        <v>70259.3</v>
      </c>
      <c r="CE19" s="296"/>
      <c r="CF19" s="296"/>
      <c r="CG19" s="296"/>
      <c r="CH19" s="296"/>
      <c r="CI19" s="297">
        <f t="shared" si="4"/>
        <v>0</v>
      </c>
      <c r="CJ19" s="296">
        <f t="shared" si="5"/>
        <v>0</v>
      </c>
      <c r="CK19" s="296">
        <f t="shared" si="6"/>
        <v>0</v>
      </c>
      <c r="CL19" s="296">
        <f t="shared" si="7"/>
        <v>0</v>
      </c>
      <c r="CM19" s="296">
        <f t="shared" si="8"/>
        <v>0</v>
      </c>
      <c r="CN19" s="297">
        <f t="shared" si="3"/>
        <v>702592.4</v>
      </c>
      <c r="CO19" s="296">
        <f t="shared" si="3"/>
        <v>0</v>
      </c>
      <c r="CP19" s="296">
        <f t="shared" si="3"/>
        <v>0</v>
      </c>
      <c r="CQ19" s="296">
        <f t="shared" si="3"/>
        <v>0</v>
      </c>
      <c r="CR19" s="296">
        <f t="shared" si="3"/>
        <v>0</v>
      </c>
      <c r="CS19" s="297">
        <f t="shared" si="10"/>
        <v>702592.4</v>
      </c>
      <c r="CT19" s="471"/>
    </row>
    <row r="20" spans="1:98" s="6" customFormat="1" ht="144" x14ac:dyDescent="0.3">
      <c r="A20" s="320" t="s">
        <v>89</v>
      </c>
      <c r="B20" s="322" t="s">
        <v>989</v>
      </c>
      <c r="C20" s="321" t="s">
        <v>1197</v>
      </c>
      <c r="D20" s="328" t="s">
        <v>28</v>
      </c>
      <c r="E20" s="310" t="s">
        <v>36</v>
      </c>
      <c r="F20" s="39" t="s">
        <v>990</v>
      </c>
      <c r="G20" s="40" t="s">
        <v>31</v>
      </c>
      <c r="H20" s="533"/>
      <c r="I20" s="503"/>
      <c r="J20" s="637"/>
      <c r="K20" s="503" t="s">
        <v>140</v>
      </c>
      <c r="L20" s="637"/>
      <c r="M20" s="643"/>
      <c r="N20" s="592" t="s">
        <v>1486</v>
      </c>
      <c r="O20" s="615" t="s">
        <v>1486</v>
      </c>
      <c r="P20" s="556"/>
      <c r="Q20" s="316"/>
      <c r="R20" s="316">
        <v>125</v>
      </c>
      <c r="S20" s="316"/>
      <c r="T20" s="316"/>
      <c r="U20" s="316"/>
      <c r="V20" s="316"/>
      <c r="W20" s="316"/>
      <c r="X20" s="316"/>
      <c r="Y20" s="316"/>
      <c r="Z20" s="316"/>
      <c r="AA20" s="306"/>
      <c r="AB20" s="306"/>
      <c r="AC20" s="306"/>
      <c r="AD20" s="306"/>
      <c r="AE20" s="306"/>
      <c r="AF20" s="306"/>
      <c r="AG20" s="306"/>
      <c r="AH20" s="306"/>
      <c r="AI20" s="306"/>
      <c r="AJ20" s="306"/>
      <c r="AK20" s="306"/>
      <c r="AL20" s="306"/>
      <c r="AM20" s="306"/>
      <c r="AN20" s="306"/>
      <c r="AO20" s="306"/>
      <c r="AP20" s="307">
        <v>39297.5</v>
      </c>
      <c r="AQ20" s="306"/>
      <c r="AR20" s="306"/>
      <c r="AS20" s="306"/>
      <c r="AT20" s="306"/>
      <c r="AU20" s="307">
        <v>196487.3</v>
      </c>
      <c r="AV20" s="306"/>
      <c r="AW20" s="306"/>
      <c r="AX20" s="306"/>
      <c r="AY20" s="306"/>
      <c r="AZ20" s="307">
        <v>117892.4</v>
      </c>
      <c r="BA20" s="306"/>
      <c r="BB20" s="306"/>
      <c r="BC20" s="306"/>
      <c r="BD20" s="306"/>
      <c r="BE20" s="307">
        <v>39297.300000000003</v>
      </c>
      <c r="BF20" s="306"/>
      <c r="BG20" s="306"/>
      <c r="BH20" s="306"/>
      <c r="BI20" s="306"/>
      <c r="BJ20" s="307"/>
      <c r="BK20" s="306"/>
      <c r="BL20" s="306"/>
      <c r="BM20" s="306"/>
      <c r="BN20" s="306"/>
      <c r="BO20" s="307"/>
      <c r="BP20" s="306"/>
      <c r="BQ20" s="306"/>
      <c r="BR20" s="306"/>
      <c r="BS20" s="306"/>
      <c r="BT20" s="307"/>
      <c r="BU20" s="306"/>
      <c r="BV20" s="306"/>
      <c r="BW20" s="306"/>
      <c r="BX20" s="306"/>
      <c r="BY20" s="307"/>
      <c r="BZ20" s="306"/>
      <c r="CA20" s="306"/>
      <c r="CB20" s="306"/>
      <c r="CC20" s="306"/>
      <c r="CD20" s="307"/>
      <c r="CE20" s="306"/>
      <c r="CF20" s="306"/>
      <c r="CG20" s="306"/>
      <c r="CH20" s="306"/>
      <c r="CI20" s="307">
        <f>AA20+AF20+AK20</f>
        <v>0</v>
      </c>
      <c r="CJ20" s="306">
        <f>AB20+AG20+AL20</f>
        <v>0</v>
      </c>
      <c r="CK20" s="306">
        <f>AC20+AH20+AM20</f>
        <v>0</v>
      </c>
      <c r="CL20" s="306">
        <f>AD20+AI20+AN20</f>
        <v>0</v>
      </c>
      <c r="CM20" s="306">
        <f>AE20+AJ20+AO20</f>
        <v>0</v>
      </c>
      <c r="CN20" s="307">
        <f t="shared" si="3"/>
        <v>392974.49999999994</v>
      </c>
      <c r="CO20" s="306">
        <f t="shared" si="3"/>
        <v>0</v>
      </c>
      <c r="CP20" s="306">
        <f t="shared" si="3"/>
        <v>0</v>
      </c>
      <c r="CQ20" s="306">
        <f t="shared" si="3"/>
        <v>0</v>
      </c>
      <c r="CR20" s="306">
        <f t="shared" si="3"/>
        <v>0</v>
      </c>
      <c r="CS20" s="307">
        <f t="shared" si="10"/>
        <v>392974.49999999994</v>
      </c>
      <c r="CT20" s="471"/>
    </row>
    <row r="21" spans="1:98" s="6" customFormat="1" ht="294" customHeight="1" x14ac:dyDescent="0.3">
      <c r="A21" s="171" t="s">
        <v>63</v>
      </c>
      <c r="B21" s="323" t="s">
        <v>45</v>
      </c>
      <c r="C21" s="323" t="s">
        <v>1140</v>
      </c>
      <c r="D21" s="42" t="s">
        <v>28</v>
      </c>
      <c r="E21" s="327" t="s">
        <v>1438</v>
      </c>
      <c r="F21" s="39" t="s">
        <v>46</v>
      </c>
      <c r="G21" s="316" t="s">
        <v>31</v>
      </c>
      <c r="H21" s="533"/>
      <c r="I21" s="316"/>
      <c r="J21" s="637"/>
      <c r="K21" s="503" t="s">
        <v>140</v>
      </c>
      <c r="L21" s="637"/>
      <c r="M21" s="643"/>
      <c r="N21" s="592" t="s">
        <v>1487</v>
      </c>
      <c r="O21" s="615" t="s">
        <v>1697</v>
      </c>
      <c r="P21" s="556"/>
      <c r="Q21" s="187"/>
      <c r="R21" s="187"/>
      <c r="S21" s="187"/>
      <c r="T21" s="187"/>
      <c r="U21" s="187"/>
      <c r="V21" s="187"/>
      <c r="W21" s="187">
        <v>1050</v>
      </c>
      <c r="X21" s="187"/>
      <c r="Y21" s="187"/>
      <c r="Z21" s="187"/>
      <c r="AA21" s="157">
        <f>SUM(AB21:AE21)</f>
        <v>16383.9</v>
      </c>
      <c r="AB21" s="144">
        <v>16383.9</v>
      </c>
      <c r="AC21" s="144"/>
      <c r="AD21" s="144"/>
      <c r="AE21" s="144"/>
      <c r="AF21" s="144"/>
      <c r="AG21" s="144"/>
      <c r="AH21" s="144"/>
      <c r="AI21" s="144"/>
      <c r="AJ21" s="144"/>
      <c r="AK21" s="144"/>
      <c r="AL21" s="144"/>
      <c r="AM21" s="144"/>
      <c r="AN21" s="144"/>
      <c r="AO21" s="144"/>
      <c r="AP21" s="157">
        <v>109604.5</v>
      </c>
      <c r="AQ21" s="144"/>
      <c r="AR21" s="144"/>
      <c r="AS21" s="144"/>
      <c r="AT21" s="144"/>
      <c r="AU21" s="157">
        <v>109604.5</v>
      </c>
      <c r="AV21" s="144"/>
      <c r="AW21" s="144"/>
      <c r="AX21" s="144"/>
      <c r="AY21" s="144"/>
      <c r="AZ21" s="157">
        <v>219208.9</v>
      </c>
      <c r="BA21" s="144"/>
      <c r="BB21" s="144"/>
      <c r="BC21" s="144"/>
      <c r="BD21" s="144"/>
      <c r="BE21" s="157">
        <v>274011.2</v>
      </c>
      <c r="BF21" s="144"/>
      <c r="BG21" s="144"/>
      <c r="BH21" s="144"/>
      <c r="BI21" s="144"/>
      <c r="BJ21" s="157">
        <v>274011.2</v>
      </c>
      <c r="BK21" s="144"/>
      <c r="BL21" s="144"/>
      <c r="BM21" s="144"/>
      <c r="BN21" s="144"/>
      <c r="BO21" s="157">
        <v>93220.4</v>
      </c>
      <c r="BP21" s="144"/>
      <c r="BQ21" s="144"/>
      <c r="BR21" s="180"/>
      <c r="BS21" s="180"/>
      <c r="BT21" s="181"/>
      <c r="BU21" s="144"/>
      <c r="BV21" s="144"/>
      <c r="BW21" s="144"/>
      <c r="BX21" s="144"/>
      <c r="BY21" s="157"/>
      <c r="BZ21" s="144"/>
      <c r="CA21" s="127"/>
      <c r="CB21" s="180"/>
      <c r="CC21" s="180"/>
      <c r="CD21" s="181"/>
      <c r="CE21" s="180"/>
      <c r="CF21" s="180"/>
      <c r="CG21" s="180"/>
      <c r="CH21" s="180"/>
      <c r="CI21" s="157">
        <f t="shared" si="4"/>
        <v>16383.9</v>
      </c>
      <c r="CJ21" s="144">
        <f t="shared" si="5"/>
        <v>16383.9</v>
      </c>
      <c r="CK21" s="144">
        <f t="shared" si="6"/>
        <v>0</v>
      </c>
      <c r="CL21" s="144">
        <f t="shared" si="7"/>
        <v>0</v>
      </c>
      <c r="CM21" s="144">
        <f t="shared" si="8"/>
        <v>0</v>
      </c>
      <c r="CN21" s="157">
        <f t="shared" si="3"/>
        <v>1096044.5999999999</v>
      </c>
      <c r="CO21" s="144">
        <f t="shared" si="3"/>
        <v>16383.9</v>
      </c>
      <c r="CP21" s="144">
        <f t="shared" si="3"/>
        <v>0</v>
      </c>
      <c r="CQ21" s="144">
        <f t="shared" si="3"/>
        <v>0</v>
      </c>
      <c r="CR21" s="144">
        <f t="shared" si="3"/>
        <v>0</v>
      </c>
      <c r="CS21" s="274">
        <f>CN21-CO21-CP21-CQ21-CR21</f>
        <v>1079660.7</v>
      </c>
      <c r="CT21" s="471"/>
    </row>
    <row r="22" spans="1:98" s="6" customFormat="1" ht="192" x14ac:dyDescent="0.3">
      <c r="A22" s="571" t="s">
        <v>66</v>
      </c>
      <c r="B22" s="574" t="s">
        <v>1208</v>
      </c>
      <c r="C22" s="41" t="s">
        <v>48</v>
      </c>
      <c r="D22" s="42" t="s">
        <v>1145</v>
      </c>
      <c r="E22" s="577" t="s">
        <v>49</v>
      </c>
      <c r="F22" s="39"/>
      <c r="G22" s="133"/>
      <c r="H22" s="577"/>
      <c r="I22" s="577"/>
      <c r="J22" s="637"/>
      <c r="K22" s="577"/>
      <c r="L22" s="637"/>
      <c r="M22" s="643"/>
      <c r="N22" s="592"/>
      <c r="O22" s="615"/>
      <c r="P22" s="576"/>
      <c r="Q22" s="577"/>
      <c r="R22" s="577"/>
      <c r="S22" s="577"/>
      <c r="T22" s="577"/>
      <c r="U22" s="577"/>
      <c r="V22" s="577"/>
      <c r="W22" s="577"/>
      <c r="X22" s="577"/>
      <c r="Y22" s="577"/>
      <c r="Z22" s="577"/>
      <c r="AA22" s="581"/>
      <c r="AB22" s="581"/>
      <c r="AC22" s="581"/>
      <c r="AD22" s="581"/>
      <c r="AE22" s="581"/>
      <c r="AF22" s="581"/>
      <c r="AG22" s="581"/>
      <c r="AH22" s="581"/>
      <c r="AI22" s="581"/>
      <c r="AJ22" s="581"/>
      <c r="AK22" s="581"/>
      <c r="AL22" s="581"/>
      <c r="AM22" s="581"/>
      <c r="AN22" s="581"/>
      <c r="AO22" s="581"/>
      <c r="AP22" s="579"/>
      <c r="AQ22" s="581"/>
      <c r="AR22" s="581"/>
      <c r="AS22" s="581"/>
      <c r="AT22" s="581"/>
      <c r="AU22" s="579"/>
      <c r="AV22" s="581"/>
      <c r="AW22" s="581"/>
      <c r="AX22" s="581"/>
      <c r="AY22" s="581"/>
      <c r="AZ22" s="579"/>
      <c r="BA22" s="581"/>
      <c r="BB22" s="581"/>
      <c r="BC22" s="581"/>
      <c r="BD22" s="581"/>
      <c r="BE22" s="579"/>
      <c r="BF22" s="581"/>
      <c r="BG22" s="581"/>
      <c r="BH22" s="581"/>
      <c r="BI22" s="581"/>
      <c r="BJ22" s="579"/>
      <c r="BK22" s="581"/>
      <c r="BL22" s="581"/>
      <c r="BM22" s="581"/>
      <c r="BN22" s="581"/>
      <c r="BO22" s="579"/>
      <c r="BP22" s="581"/>
      <c r="BQ22" s="581"/>
      <c r="BR22" s="581"/>
      <c r="BS22" s="581"/>
      <c r="BT22" s="579"/>
      <c r="BU22" s="581"/>
      <c r="BV22" s="581"/>
      <c r="BW22" s="581"/>
      <c r="BX22" s="581"/>
      <c r="BY22" s="579"/>
      <c r="BZ22" s="581"/>
      <c r="CA22" s="581"/>
      <c r="CB22" s="581"/>
      <c r="CC22" s="581"/>
      <c r="CD22" s="579"/>
      <c r="CE22" s="581"/>
      <c r="CF22" s="581"/>
      <c r="CG22" s="581"/>
      <c r="CH22" s="581"/>
      <c r="CI22" s="579">
        <f t="shared" si="4"/>
        <v>0</v>
      </c>
      <c r="CJ22" s="581">
        <f t="shared" si="5"/>
        <v>0</v>
      </c>
      <c r="CK22" s="581">
        <f t="shared" si="6"/>
        <v>0</v>
      </c>
      <c r="CL22" s="581">
        <f t="shared" si="7"/>
        <v>0</v>
      </c>
      <c r="CM22" s="581">
        <f t="shared" si="8"/>
        <v>0</v>
      </c>
      <c r="CN22" s="579">
        <f t="shared" ref="CN22:CR26" si="11">AA22+AF22+AK22+AP22+AU22+AZ22+BE22+BJ22+BO22+BT22+BY22+CD22</f>
        <v>0</v>
      </c>
      <c r="CO22" s="581">
        <f t="shared" si="11"/>
        <v>0</v>
      </c>
      <c r="CP22" s="581">
        <f t="shared" si="11"/>
        <v>0</v>
      </c>
      <c r="CQ22" s="581">
        <f t="shared" si="11"/>
        <v>0</v>
      </c>
      <c r="CR22" s="581">
        <f t="shared" si="11"/>
        <v>0</v>
      </c>
      <c r="CS22" s="579">
        <f t="shared" si="10"/>
        <v>0</v>
      </c>
      <c r="CT22" s="471"/>
    </row>
    <row r="23" spans="1:98" s="6" customFormat="1" ht="120" x14ac:dyDescent="0.3">
      <c r="A23" s="171" t="s">
        <v>75</v>
      </c>
      <c r="B23" s="189" t="s">
        <v>51</v>
      </c>
      <c r="C23" s="188" t="s">
        <v>868</v>
      </c>
      <c r="D23" s="187" t="s">
        <v>814</v>
      </c>
      <c r="E23" s="187" t="s">
        <v>52</v>
      </c>
      <c r="F23" s="192" t="s">
        <v>53</v>
      </c>
      <c r="G23" s="503" t="s">
        <v>54</v>
      </c>
      <c r="H23" s="533">
        <v>31</v>
      </c>
      <c r="I23" s="503">
        <v>37</v>
      </c>
      <c r="J23" s="637">
        <v>37</v>
      </c>
      <c r="K23" s="503">
        <v>37</v>
      </c>
      <c r="L23" s="637">
        <v>37</v>
      </c>
      <c r="M23" s="643">
        <v>36</v>
      </c>
      <c r="N23" s="592" t="s">
        <v>1488</v>
      </c>
      <c r="O23" s="615" t="s">
        <v>1654</v>
      </c>
      <c r="P23" s="556"/>
      <c r="Q23" s="187">
        <v>37</v>
      </c>
      <c r="R23" s="187">
        <v>37</v>
      </c>
      <c r="S23" s="187">
        <v>37</v>
      </c>
      <c r="T23" s="187">
        <v>37</v>
      </c>
      <c r="U23" s="187">
        <v>37</v>
      </c>
      <c r="V23" s="187">
        <v>37</v>
      </c>
      <c r="W23" s="187">
        <v>37</v>
      </c>
      <c r="X23" s="187">
        <v>37</v>
      </c>
      <c r="Y23" s="187">
        <v>37</v>
      </c>
      <c r="Z23" s="187">
        <v>37</v>
      </c>
      <c r="AA23" s="181">
        <f>SUM(AB23:AE23)</f>
        <v>16416.2</v>
      </c>
      <c r="AB23" s="180"/>
      <c r="AC23" s="180"/>
      <c r="AD23" s="180"/>
      <c r="AE23" s="180">
        <v>16416.2</v>
      </c>
      <c r="AF23" s="181">
        <f>SUM(AG23:AJ23)</f>
        <v>16416.2</v>
      </c>
      <c r="AG23" s="180"/>
      <c r="AH23" s="180"/>
      <c r="AI23" s="180"/>
      <c r="AJ23" s="180">
        <v>16416.2</v>
      </c>
      <c r="AK23" s="181">
        <f>SUM(AL23:AO23)</f>
        <v>16416.2</v>
      </c>
      <c r="AL23" s="180"/>
      <c r="AM23" s="180"/>
      <c r="AN23" s="180"/>
      <c r="AO23" s="180">
        <v>16416.2</v>
      </c>
      <c r="AP23" s="181">
        <f>SUM(AQ23:AT23)</f>
        <v>16416.2</v>
      </c>
      <c r="AQ23" s="180"/>
      <c r="AR23" s="180"/>
      <c r="AS23" s="180"/>
      <c r="AT23" s="180">
        <v>16416.2</v>
      </c>
      <c r="AU23" s="181">
        <f>SUM(AV23:AY23)</f>
        <v>16416.2</v>
      </c>
      <c r="AV23" s="180"/>
      <c r="AW23" s="180"/>
      <c r="AX23" s="180"/>
      <c r="AY23" s="180">
        <v>16416.2</v>
      </c>
      <c r="AZ23" s="181">
        <f>SUM(BA23:BD23)</f>
        <v>16416.2</v>
      </c>
      <c r="BA23" s="180"/>
      <c r="BB23" s="180"/>
      <c r="BC23" s="180"/>
      <c r="BD23" s="180">
        <v>16416.2</v>
      </c>
      <c r="BE23" s="181">
        <f>SUM(BF23:BI23)</f>
        <v>16416.2</v>
      </c>
      <c r="BF23" s="180"/>
      <c r="BG23" s="180"/>
      <c r="BH23" s="180"/>
      <c r="BI23" s="180">
        <v>16416.2</v>
      </c>
      <c r="BJ23" s="181">
        <f>SUM(BK23:BN23)</f>
        <v>16416.2</v>
      </c>
      <c r="BK23" s="180"/>
      <c r="BL23" s="180"/>
      <c r="BM23" s="180"/>
      <c r="BN23" s="180">
        <v>16416.2</v>
      </c>
      <c r="BO23" s="181">
        <f>SUM(BP23:BS23)</f>
        <v>16416.2</v>
      </c>
      <c r="BP23" s="180"/>
      <c r="BQ23" s="180"/>
      <c r="BR23" s="180"/>
      <c r="BS23" s="180">
        <v>16416.2</v>
      </c>
      <c r="BT23" s="181">
        <f>SUM(BU23:BX23)</f>
        <v>16416.2</v>
      </c>
      <c r="BU23" s="180"/>
      <c r="BV23" s="180"/>
      <c r="BW23" s="180"/>
      <c r="BX23" s="180">
        <v>16416.2</v>
      </c>
      <c r="BY23" s="181">
        <f>SUM(BZ23:CC23)</f>
        <v>16416.2</v>
      </c>
      <c r="BZ23" s="180"/>
      <c r="CA23" s="180"/>
      <c r="CB23" s="180"/>
      <c r="CC23" s="180">
        <v>16416.2</v>
      </c>
      <c r="CD23" s="181">
        <f>SUM(CE23:CH23)</f>
        <v>16416.2</v>
      </c>
      <c r="CE23" s="180"/>
      <c r="CF23" s="180"/>
      <c r="CG23" s="180"/>
      <c r="CH23" s="180">
        <v>16416.2</v>
      </c>
      <c r="CI23" s="181">
        <f t="shared" si="4"/>
        <v>49248.600000000006</v>
      </c>
      <c r="CJ23" s="180">
        <f t="shared" si="5"/>
        <v>0</v>
      </c>
      <c r="CK23" s="180">
        <f t="shared" si="6"/>
        <v>0</v>
      </c>
      <c r="CL23" s="180">
        <f t="shared" si="7"/>
        <v>0</v>
      </c>
      <c r="CM23" s="180">
        <f t="shared" si="8"/>
        <v>49248.600000000006</v>
      </c>
      <c r="CN23" s="181">
        <f t="shared" si="11"/>
        <v>196994.40000000005</v>
      </c>
      <c r="CO23" s="180">
        <f t="shared" si="11"/>
        <v>0</v>
      </c>
      <c r="CP23" s="180">
        <f t="shared" si="11"/>
        <v>0</v>
      </c>
      <c r="CQ23" s="180">
        <f t="shared" si="11"/>
        <v>0</v>
      </c>
      <c r="CR23" s="180">
        <f t="shared" si="11"/>
        <v>196994.40000000005</v>
      </c>
      <c r="CS23" s="273">
        <f>CN23-CO23-CP23-CQ23-CR23</f>
        <v>0</v>
      </c>
      <c r="CT23" s="471"/>
    </row>
    <row r="24" spans="1:98" s="6" customFormat="1" ht="216" x14ac:dyDescent="0.3">
      <c r="A24" s="171" t="s">
        <v>77</v>
      </c>
      <c r="B24" s="188" t="s">
        <v>56</v>
      </c>
      <c r="C24" s="188" t="s">
        <v>57</v>
      </c>
      <c r="D24" s="187" t="s">
        <v>814</v>
      </c>
      <c r="E24" s="187" t="s">
        <v>52</v>
      </c>
      <c r="F24" s="192" t="s">
        <v>980</v>
      </c>
      <c r="G24" s="40" t="s">
        <v>58</v>
      </c>
      <c r="H24" s="450">
        <v>60</v>
      </c>
      <c r="I24" s="450">
        <v>80</v>
      </c>
      <c r="J24" s="450">
        <v>80</v>
      </c>
      <c r="K24" s="450">
        <v>100</v>
      </c>
      <c r="L24" s="450">
        <v>80</v>
      </c>
      <c r="M24" s="645">
        <v>80</v>
      </c>
      <c r="N24" s="592" t="s">
        <v>1489</v>
      </c>
      <c r="O24" s="615"/>
      <c r="P24" s="556"/>
      <c r="Q24" s="43">
        <v>80</v>
      </c>
      <c r="R24" s="43">
        <v>90</v>
      </c>
      <c r="S24" s="43">
        <v>90</v>
      </c>
      <c r="T24" s="43">
        <v>90</v>
      </c>
      <c r="U24" s="43">
        <v>95</v>
      </c>
      <c r="V24" s="43">
        <v>95</v>
      </c>
      <c r="W24" s="43">
        <v>95</v>
      </c>
      <c r="X24" s="43">
        <v>100</v>
      </c>
      <c r="Y24" s="43">
        <v>100</v>
      </c>
      <c r="Z24" s="43">
        <v>100</v>
      </c>
      <c r="AA24" s="181">
        <f>SUM(AB24:AE24)</f>
        <v>9735.9</v>
      </c>
      <c r="AB24" s="180"/>
      <c r="AC24" s="180">
        <v>9735.9</v>
      </c>
      <c r="AD24" s="180"/>
      <c r="AE24" s="180"/>
      <c r="AF24" s="181">
        <f>SUM(AG24:AJ24)</f>
        <v>9735.9</v>
      </c>
      <c r="AG24" s="180"/>
      <c r="AH24" s="180">
        <v>9735.9</v>
      </c>
      <c r="AI24" s="180"/>
      <c r="AJ24" s="180"/>
      <c r="AK24" s="181">
        <f>SUM(AL24:AO24)</f>
        <v>9735.9</v>
      </c>
      <c r="AL24" s="180"/>
      <c r="AM24" s="180">
        <v>9735.9</v>
      </c>
      <c r="AN24" s="180"/>
      <c r="AO24" s="180"/>
      <c r="AP24" s="181">
        <f>SUM(AQ24:AT24)</f>
        <v>9735.9</v>
      </c>
      <c r="AQ24" s="180"/>
      <c r="AR24" s="180">
        <v>9735.9</v>
      </c>
      <c r="AS24" s="180"/>
      <c r="AT24" s="180"/>
      <c r="AU24" s="181">
        <f>SUM(AV24:AY24)</f>
        <v>9735.9</v>
      </c>
      <c r="AV24" s="180"/>
      <c r="AW24" s="180">
        <v>9735.9</v>
      </c>
      <c r="AX24" s="180"/>
      <c r="AY24" s="180"/>
      <c r="AZ24" s="181">
        <f>SUM(BA24:BD24)</f>
        <v>9735.9</v>
      </c>
      <c r="BA24" s="180"/>
      <c r="BB24" s="180">
        <v>9735.9</v>
      </c>
      <c r="BC24" s="180"/>
      <c r="BD24" s="180"/>
      <c r="BE24" s="181">
        <f>SUM(BF24:BI24)</f>
        <v>9735.9</v>
      </c>
      <c r="BF24" s="180"/>
      <c r="BG24" s="180">
        <v>9735.9</v>
      </c>
      <c r="BH24" s="180"/>
      <c r="BI24" s="180"/>
      <c r="BJ24" s="181">
        <f>SUM(BK24:BN24)</f>
        <v>9735.9</v>
      </c>
      <c r="BK24" s="180"/>
      <c r="BL24" s="180">
        <v>9735.9</v>
      </c>
      <c r="BM24" s="180"/>
      <c r="BN24" s="180"/>
      <c r="BO24" s="181">
        <f>SUM(BP24:BS24)</f>
        <v>9735.9</v>
      </c>
      <c r="BP24" s="180"/>
      <c r="BQ24" s="180">
        <v>9735.9</v>
      </c>
      <c r="BR24" s="180"/>
      <c r="BS24" s="180"/>
      <c r="BT24" s="181">
        <f>SUM(BU24:BX24)</f>
        <v>9735.9</v>
      </c>
      <c r="BU24" s="180"/>
      <c r="BV24" s="180">
        <v>9735.9</v>
      </c>
      <c r="BW24" s="180"/>
      <c r="BX24" s="180"/>
      <c r="BY24" s="181">
        <f>SUM(BZ24:CC24)</f>
        <v>9735.9</v>
      </c>
      <c r="BZ24" s="180"/>
      <c r="CA24" s="180">
        <v>9735.9</v>
      </c>
      <c r="CB24" s="180"/>
      <c r="CC24" s="180"/>
      <c r="CD24" s="181">
        <f>SUM(CE24:CH24)</f>
        <v>9735.9</v>
      </c>
      <c r="CE24" s="180"/>
      <c r="CF24" s="180">
        <v>9735.9</v>
      </c>
      <c r="CG24" s="180"/>
      <c r="CH24" s="180"/>
      <c r="CI24" s="181">
        <f t="shared" si="4"/>
        <v>29207.699999999997</v>
      </c>
      <c r="CJ24" s="180">
        <f t="shared" si="5"/>
        <v>0</v>
      </c>
      <c r="CK24" s="180">
        <f t="shared" si="6"/>
        <v>29207.699999999997</v>
      </c>
      <c r="CL24" s="180">
        <f t="shared" si="7"/>
        <v>0</v>
      </c>
      <c r="CM24" s="180">
        <f t="shared" si="8"/>
        <v>0</v>
      </c>
      <c r="CN24" s="181">
        <f t="shared" si="11"/>
        <v>116830.79999999997</v>
      </c>
      <c r="CO24" s="180">
        <f t="shared" si="11"/>
        <v>0</v>
      </c>
      <c r="CP24" s="180">
        <f t="shared" si="11"/>
        <v>116830.79999999997</v>
      </c>
      <c r="CQ24" s="180">
        <f t="shared" si="11"/>
        <v>0</v>
      </c>
      <c r="CR24" s="180">
        <f t="shared" si="11"/>
        <v>0</v>
      </c>
      <c r="CS24" s="273">
        <f t="shared" si="10"/>
        <v>0</v>
      </c>
      <c r="CT24" s="471"/>
    </row>
    <row r="25" spans="1:98" s="6" customFormat="1" ht="144" x14ac:dyDescent="0.3">
      <c r="A25" s="171" t="s">
        <v>69</v>
      </c>
      <c r="B25" s="189" t="s">
        <v>60</v>
      </c>
      <c r="C25" s="189" t="s">
        <v>61</v>
      </c>
      <c r="D25" s="187" t="s">
        <v>814</v>
      </c>
      <c r="E25" s="187" t="s">
        <v>52</v>
      </c>
      <c r="F25" s="39" t="s">
        <v>981</v>
      </c>
      <c r="G25" s="40" t="s">
        <v>62</v>
      </c>
      <c r="H25" s="534">
        <v>80</v>
      </c>
      <c r="I25" s="473">
        <v>80</v>
      </c>
      <c r="J25" s="633">
        <v>80</v>
      </c>
      <c r="K25" s="473">
        <v>81</v>
      </c>
      <c r="L25" s="633">
        <v>80</v>
      </c>
      <c r="M25" s="705">
        <v>80</v>
      </c>
      <c r="N25" s="592" t="s">
        <v>1490</v>
      </c>
      <c r="O25" s="615"/>
      <c r="P25" s="556"/>
      <c r="Q25" s="187">
        <v>80</v>
      </c>
      <c r="R25" s="187">
        <v>90</v>
      </c>
      <c r="S25" s="187">
        <v>90</v>
      </c>
      <c r="T25" s="187">
        <v>90</v>
      </c>
      <c r="U25" s="187">
        <v>95</v>
      </c>
      <c r="V25" s="187">
        <v>95</v>
      </c>
      <c r="W25" s="187">
        <v>95</v>
      </c>
      <c r="X25" s="187">
        <v>100</v>
      </c>
      <c r="Y25" s="187">
        <v>100</v>
      </c>
      <c r="Z25" s="187">
        <v>100</v>
      </c>
      <c r="AA25" s="181">
        <f>SUM(AB25:AE25)</f>
        <v>614.4</v>
      </c>
      <c r="AB25" s="180"/>
      <c r="AC25" s="180">
        <v>614.4</v>
      </c>
      <c r="AD25" s="180"/>
      <c r="AE25" s="180"/>
      <c r="AF25" s="181">
        <f>SUM(AG25:AJ25)</f>
        <v>614.4</v>
      </c>
      <c r="AG25" s="180"/>
      <c r="AH25" s="180">
        <v>614.4</v>
      </c>
      <c r="AI25" s="180"/>
      <c r="AJ25" s="180"/>
      <c r="AK25" s="181">
        <f>SUM(AL25:AO25)</f>
        <v>614.4</v>
      </c>
      <c r="AL25" s="180"/>
      <c r="AM25" s="180">
        <v>614.4</v>
      </c>
      <c r="AN25" s="180"/>
      <c r="AO25" s="180"/>
      <c r="AP25" s="181">
        <f>SUM(AQ25:AT25)</f>
        <v>614.4</v>
      </c>
      <c r="AQ25" s="180"/>
      <c r="AR25" s="180">
        <v>614.4</v>
      </c>
      <c r="AS25" s="180"/>
      <c r="AT25" s="180"/>
      <c r="AU25" s="181">
        <f>SUM(AV25:AY25)</f>
        <v>614.4</v>
      </c>
      <c r="AV25" s="180"/>
      <c r="AW25" s="180">
        <v>614.4</v>
      </c>
      <c r="AX25" s="180"/>
      <c r="AY25" s="180"/>
      <c r="AZ25" s="181">
        <f>SUM(BA25:BD25)</f>
        <v>614.4</v>
      </c>
      <c r="BA25" s="180"/>
      <c r="BB25" s="180">
        <v>614.4</v>
      </c>
      <c r="BC25" s="180"/>
      <c r="BD25" s="180"/>
      <c r="BE25" s="181">
        <f>SUM(BF25:BI25)</f>
        <v>614.4</v>
      </c>
      <c r="BF25" s="180"/>
      <c r="BG25" s="180">
        <v>614.4</v>
      </c>
      <c r="BH25" s="180"/>
      <c r="BI25" s="180"/>
      <c r="BJ25" s="181">
        <f>SUM(BK25:BN25)</f>
        <v>614.4</v>
      </c>
      <c r="BK25" s="180"/>
      <c r="BL25" s="180">
        <v>614.4</v>
      </c>
      <c r="BM25" s="180"/>
      <c r="BN25" s="180"/>
      <c r="BO25" s="181">
        <f>SUM(BP25:BS25)</f>
        <v>614.4</v>
      </c>
      <c r="BP25" s="180"/>
      <c r="BQ25" s="180">
        <v>614.4</v>
      </c>
      <c r="BR25" s="180"/>
      <c r="BS25" s="180"/>
      <c r="BT25" s="181">
        <f>SUM(BU25:BX25)</f>
        <v>614.4</v>
      </c>
      <c r="BU25" s="180"/>
      <c r="BV25" s="180">
        <v>614.4</v>
      </c>
      <c r="BW25" s="180"/>
      <c r="BX25" s="180"/>
      <c r="BY25" s="181">
        <f>SUM(BZ25:CC25)</f>
        <v>614.4</v>
      </c>
      <c r="BZ25" s="180"/>
      <c r="CA25" s="180">
        <v>614.4</v>
      </c>
      <c r="CB25" s="180"/>
      <c r="CC25" s="180"/>
      <c r="CD25" s="181">
        <f>SUM(CE25:CH25)</f>
        <v>614.4</v>
      </c>
      <c r="CE25" s="180"/>
      <c r="CF25" s="180">
        <v>614.4</v>
      </c>
      <c r="CG25" s="180"/>
      <c r="CH25" s="180"/>
      <c r="CI25" s="181">
        <f t="shared" si="4"/>
        <v>1843.1999999999998</v>
      </c>
      <c r="CJ25" s="180">
        <f t="shared" si="5"/>
        <v>0</v>
      </c>
      <c r="CK25" s="180">
        <f t="shared" si="6"/>
        <v>1843.1999999999998</v>
      </c>
      <c r="CL25" s="180">
        <f t="shared" si="7"/>
        <v>0</v>
      </c>
      <c r="CM25" s="180">
        <f t="shared" si="8"/>
        <v>0</v>
      </c>
      <c r="CN25" s="181">
        <f t="shared" si="11"/>
        <v>7372.7999999999984</v>
      </c>
      <c r="CO25" s="180">
        <f t="shared" si="11"/>
        <v>0</v>
      </c>
      <c r="CP25" s="180">
        <f t="shared" si="11"/>
        <v>7372.7999999999984</v>
      </c>
      <c r="CQ25" s="180">
        <f t="shared" si="11"/>
        <v>0</v>
      </c>
      <c r="CR25" s="180">
        <f t="shared" si="11"/>
        <v>0</v>
      </c>
      <c r="CS25" s="273">
        <f t="shared" ref="CS25" si="12">CN25-CO25-CP25-CQ25-CR25</f>
        <v>0</v>
      </c>
      <c r="CT25" s="471"/>
    </row>
    <row r="26" spans="1:98" s="6" customFormat="1" ht="168" x14ac:dyDescent="0.3">
      <c r="A26" s="171" t="s">
        <v>1245</v>
      </c>
      <c r="B26" s="189" t="s">
        <v>64</v>
      </c>
      <c r="C26" s="188" t="s">
        <v>65</v>
      </c>
      <c r="D26" s="187" t="s">
        <v>814</v>
      </c>
      <c r="E26" s="187" t="s">
        <v>52</v>
      </c>
      <c r="F26" s="192" t="s">
        <v>974</v>
      </c>
      <c r="G26" s="40" t="s">
        <v>62</v>
      </c>
      <c r="H26" s="534">
        <f>11/39*100</f>
        <v>28.205128205128204</v>
      </c>
      <c r="I26" s="124">
        <f>27/37*100</f>
        <v>72.972972972972968</v>
      </c>
      <c r="J26" s="633">
        <f>28/37*100</f>
        <v>75.675675675675677</v>
      </c>
      <c r="K26" s="124">
        <v>100</v>
      </c>
      <c r="L26" s="633">
        <v>100</v>
      </c>
      <c r="M26" s="705">
        <v>100</v>
      </c>
      <c r="N26" s="592" t="s">
        <v>1491</v>
      </c>
      <c r="O26" s="615" t="s">
        <v>1491</v>
      </c>
      <c r="P26" s="556"/>
      <c r="Q26" s="44">
        <f>37/37*100</f>
        <v>100</v>
      </c>
      <c r="R26" s="44">
        <f t="shared" ref="R26:Z27" si="13">37/37*100</f>
        <v>100</v>
      </c>
      <c r="S26" s="44">
        <f t="shared" si="13"/>
        <v>100</v>
      </c>
      <c r="T26" s="44">
        <f t="shared" si="13"/>
        <v>100</v>
      </c>
      <c r="U26" s="44">
        <f t="shared" si="13"/>
        <v>100</v>
      </c>
      <c r="V26" s="44">
        <f t="shared" si="13"/>
        <v>100</v>
      </c>
      <c r="W26" s="44">
        <f t="shared" si="13"/>
        <v>100</v>
      </c>
      <c r="X26" s="44">
        <f t="shared" si="13"/>
        <v>100</v>
      </c>
      <c r="Y26" s="44">
        <f t="shared" si="13"/>
        <v>100</v>
      </c>
      <c r="Z26" s="44">
        <f t="shared" si="13"/>
        <v>100</v>
      </c>
      <c r="AA26" s="773">
        <f>SUM(AB26:AE26)</f>
        <v>9073.7999999999993</v>
      </c>
      <c r="AB26" s="791">
        <v>183</v>
      </c>
      <c r="AC26" s="791">
        <v>8890.7999999999993</v>
      </c>
      <c r="AD26" s="791"/>
      <c r="AE26" s="791"/>
      <c r="AF26" s="773">
        <f>SUM(AG26:AJ26)</f>
        <v>9070.1</v>
      </c>
      <c r="AG26" s="791">
        <v>183</v>
      </c>
      <c r="AH26" s="791">
        <v>8887.1</v>
      </c>
      <c r="AI26" s="791"/>
      <c r="AJ26" s="791"/>
      <c r="AK26" s="773">
        <f>SUM(AL26:AO26)</f>
        <v>9070.1</v>
      </c>
      <c r="AL26" s="791">
        <v>183</v>
      </c>
      <c r="AM26" s="791">
        <v>8887.1</v>
      </c>
      <c r="AN26" s="791"/>
      <c r="AO26" s="791"/>
      <c r="AP26" s="773">
        <f>SUM(AQ26:AT26)</f>
        <v>9070.1</v>
      </c>
      <c r="AQ26" s="791">
        <v>183</v>
      </c>
      <c r="AR26" s="791">
        <v>8887.1</v>
      </c>
      <c r="AS26" s="791"/>
      <c r="AT26" s="791"/>
      <c r="AU26" s="773">
        <f>SUM(AV26:AY26)</f>
        <v>9070.1</v>
      </c>
      <c r="AV26" s="791">
        <v>183</v>
      </c>
      <c r="AW26" s="791">
        <v>8887.1</v>
      </c>
      <c r="AX26" s="791"/>
      <c r="AY26" s="791"/>
      <c r="AZ26" s="773">
        <f>SUM(BA26:BD26)</f>
        <v>9070.1</v>
      </c>
      <c r="BA26" s="791">
        <v>183</v>
      </c>
      <c r="BB26" s="791">
        <v>8887.1</v>
      </c>
      <c r="BC26" s="791"/>
      <c r="BD26" s="791"/>
      <c r="BE26" s="773">
        <f>SUM(BF26:BI26)</f>
        <v>9070.1</v>
      </c>
      <c r="BF26" s="791">
        <v>183</v>
      </c>
      <c r="BG26" s="791">
        <v>8887.1</v>
      </c>
      <c r="BH26" s="791"/>
      <c r="BI26" s="791"/>
      <c r="BJ26" s="773">
        <f>SUM(BK26:BN26)</f>
        <v>9070.1</v>
      </c>
      <c r="BK26" s="791">
        <v>183</v>
      </c>
      <c r="BL26" s="791">
        <v>8887.1</v>
      </c>
      <c r="BM26" s="791"/>
      <c r="BN26" s="791"/>
      <c r="BO26" s="773">
        <f>SUM(BP26:BS26)</f>
        <v>9070.1</v>
      </c>
      <c r="BP26" s="791">
        <v>183</v>
      </c>
      <c r="BQ26" s="791">
        <v>8887.1</v>
      </c>
      <c r="BR26" s="791"/>
      <c r="BS26" s="791"/>
      <c r="BT26" s="773">
        <f>SUM(BU26:BX26)</f>
        <v>9070.1</v>
      </c>
      <c r="BU26" s="791">
        <v>183</v>
      </c>
      <c r="BV26" s="791">
        <v>8887.1</v>
      </c>
      <c r="BW26" s="791"/>
      <c r="BX26" s="791"/>
      <c r="BY26" s="773">
        <f>SUM(BZ26:CC26)</f>
        <v>9070.1</v>
      </c>
      <c r="BZ26" s="791">
        <v>183</v>
      </c>
      <c r="CA26" s="791">
        <v>8887.1</v>
      </c>
      <c r="CB26" s="791"/>
      <c r="CC26" s="791"/>
      <c r="CD26" s="773">
        <f>SUM(CE26:CH26)</f>
        <v>9070.1</v>
      </c>
      <c r="CE26" s="791">
        <v>183</v>
      </c>
      <c r="CF26" s="791">
        <v>8887.1</v>
      </c>
      <c r="CG26" s="791"/>
      <c r="CH26" s="791"/>
      <c r="CI26" s="773">
        <f>AA26+AF26+AK26</f>
        <v>27214</v>
      </c>
      <c r="CJ26" s="791">
        <f t="shared" ref="CJ26" si="14">AB26+AG26+AL26</f>
        <v>549</v>
      </c>
      <c r="CK26" s="791">
        <f t="shared" ref="CK26" si="15">AC26+AH26+AM26</f>
        <v>26665</v>
      </c>
      <c r="CL26" s="791">
        <f t="shared" ref="CL26" si="16">AD26+AI26+AN26</f>
        <v>0</v>
      </c>
      <c r="CM26" s="791">
        <f t="shared" ref="CM26" si="17">AE26+AJ26+AO26</f>
        <v>0</v>
      </c>
      <c r="CN26" s="773">
        <f t="shared" si="11"/>
        <v>108844.90000000002</v>
      </c>
      <c r="CO26" s="791">
        <f t="shared" si="11"/>
        <v>2196</v>
      </c>
      <c r="CP26" s="791">
        <f t="shared" si="11"/>
        <v>106648.90000000002</v>
      </c>
      <c r="CQ26" s="791">
        <f t="shared" si="11"/>
        <v>0</v>
      </c>
      <c r="CR26" s="791">
        <f t="shared" si="11"/>
        <v>0</v>
      </c>
      <c r="CS26" s="775">
        <f>CN26-CO26-CP26-CQ26-CR26</f>
        <v>0</v>
      </c>
      <c r="CT26" s="471"/>
    </row>
    <row r="27" spans="1:98" s="6" customFormat="1" ht="120" x14ac:dyDescent="0.3">
      <c r="A27" s="171" t="s">
        <v>71</v>
      </c>
      <c r="B27" s="189" t="s">
        <v>67</v>
      </c>
      <c r="C27" s="188" t="s">
        <v>68</v>
      </c>
      <c r="D27" s="187" t="s">
        <v>814</v>
      </c>
      <c r="E27" s="187" t="s">
        <v>52</v>
      </c>
      <c r="F27" s="192" t="s">
        <v>974</v>
      </c>
      <c r="G27" s="40" t="s">
        <v>62</v>
      </c>
      <c r="H27" s="534">
        <f>11/39*100</f>
        <v>28.205128205128204</v>
      </c>
      <c r="I27" s="124">
        <f>27/37*100</f>
        <v>72.972972972972968</v>
      </c>
      <c r="J27" s="633">
        <f>28/37*100</f>
        <v>75.675675675675677</v>
      </c>
      <c r="K27" s="124">
        <v>97</v>
      </c>
      <c r="L27" s="633">
        <v>100</v>
      </c>
      <c r="M27" s="705">
        <v>100</v>
      </c>
      <c r="N27" s="592" t="s">
        <v>1492</v>
      </c>
      <c r="O27" s="615"/>
      <c r="P27" s="556"/>
      <c r="Q27" s="44">
        <f>37/37*100</f>
        <v>100</v>
      </c>
      <c r="R27" s="44">
        <f t="shared" si="13"/>
        <v>100</v>
      </c>
      <c r="S27" s="44">
        <f t="shared" si="13"/>
        <v>100</v>
      </c>
      <c r="T27" s="44">
        <f t="shared" si="13"/>
        <v>100</v>
      </c>
      <c r="U27" s="44">
        <f t="shared" si="13"/>
        <v>100</v>
      </c>
      <c r="V27" s="44">
        <f t="shared" si="13"/>
        <v>100</v>
      </c>
      <c r="W27" s="44">
        <f t="shared" si="13"/>
        <v>100</v>
      </c>
      <c r="X27" s="44">
        <f t="shared" si="13"/>
        <v>100</v>
      </c>
      <c r="Y27" s="44">
        <f t="shared" si="13"/>
        <v>100</v>
      </c>
      <c r="Z27" s="44">
        <f t="shared" si="13"/>
        <v>100</v>
      </c>
      <c r="AA27" s="799"/>
      <c r="AB27" s="795"/>
      <c r="AC27" s="795"/>
      <c r="AD27" s="795"/>
      <c r="AE27" s="795"/>
      <c r="AF27" s="799"/>
      <c r="AG27" s="795"/>
      <c r="AH27" s="795"/>
      <c r="AI27" s="795"/>
      <c r="AJ27" s="795"/>
      <c r="AK27" s="799"/>
      <c r="AL27" s="795"/>
      <c r="AM27" s="795"/>
      <c r="AN27" s="795"/>
      <c r="AO27" s="795"/>
      <c r="AP27" s="799"/>
      <c r="AQ27" s="795"/>
      <c r="AR27" s="795"/>
      <c r="AS27" s="795"/>
      <c r="AT27" s="795"/>
      <c r="AU27" s="799"/>
      <c r="AV27" s="795"/>
      <c r="AW27" s="795"/>
      <c r="AX27" s="795"/>
      <c r="AY27" s="795"/>
      <c r="AZ27" s="799"/>
      <c r="BA27" s="795"/>
      <c r="BB27" s="795"/>
      <c r="BC27" s="795"/>
      <c r="BD27" s="795"/>
      <c r="BE27" s="799"/>
      <c r="BF27" s="795"/>
      <c r="BG27" s="795"/>
      <c r="BH27" s="795"/>
      <c r="BI27" s="795"/>
      <c r="BJ27" s="799"/>
      <c r="BK27" s="795"/>
      <c r="BL27" s="795"/>
      <c r="BM27" s="795"/>
      <c r="BN27" s="795"/>
      <c r="BO27" s="799"/>
      <c r="BP27" s="795"/>
      <c r="BQ27" s="795"/>
      <c r="BR27" s="795"/>
      <c r="BS27" s="795"/>
      <c r="BT27" s="799"/>
      <c r="BU27" s="795"/>
      <c r="BV27" s="795"/>
      <c r="BW27" s="795"/>
      <c r="BX27" s="795"/>
      <c r="BY27" s="799"/>
      <c r="BZ27" s="795"/>
      <c r="CA27" s="795"/>
      <c r="CB27" s="795"/>
      <c r="CC27" s="795"/>
      <c r="CD27" s="799"/>
      <c r="CE27" s="795"/>
      <c r="CF27" s="795"/>
      <c r="CG27" s="795"/>
      <c r="CH27" s="795"/>
      <c r="CI27" s="799"/>
      <c r="CJ27" s="795"/>
      <c r="CK27" s="795"/>
      <c r="CL27" s="795"/>
      <c r="CM27" s="795"/>
      <c r="CN27" s="799"/>
      <c r="CO27" s="795"/>
      <c r="CP27" s="795"/>
      <c r="CQ27" s="795"/>
      <c r="CR27" s="795"/>
      <c r="CS27" s="823"/>
      <c r="CT27" s="471"/>
    </row>
    <row r="28" spans="1:98" s="6" customFormat="1" ht="148.5" customHeight="1" x14ac:dyDescent="0.3">
      <c r="A28" s="171" t="s">
        <v>55</v>
      </c>
      <c r="B28" s="323" t="s">
        <v>70</v>
      </c>
      <c r="C28" s="188" t="s">
        <v>1024</v>
      </c>
      <c r="D28" s="187" t="s">
        <v>814</v>
      </c>
      <c r="E28" s="187" t="s">
        <v>52</v>
      </c>
      <c r="F28" s="192" t="s">
        <v>978</v>
      </c>
      <c r="G28" s="40" t="s">
        <v>62</v>
      </c>
      <c r="H28" s="534">
        <v>0</v>
      </c>
      <c r="I28" s="124">
        <v>80</v>
      </c>
      <c r="J28" s="633">
        <v>100</v>
      </c>
      <c r="K28" s="124">
        <v>100</v>
      </c>
      <c r="L28" s="633">
        <v>100</v>
      </c>
      <c r="M28" s="705">
        <v>100</v>
      </c>
      <c r="N28" s="592" t="s">
        <v>1493</v>
      </c>
      <c r="O28" s="615" t="s">
        <v>1493</v>
      </c>
      <c r="P28" s="556"/>
      <c r="Q28" s="187">
        <v>100</v>
      </c>
      <c r="R28" s="187">
        <v>100</v>
      </c>
      <c r="S28" s="187">
        <v>100</v>
      </c>
      <c r="T28" s="187">
        <v>100</v>
      </c>
      <c r="U28" s="187">
        <v>100</v>
      </c>
      <c r="V28" s="187">
        <v>100</v>
      </c>
      <c r="W28" s="187">
        <v>100</v>
      </c>
      <c r="X28" s="187">
        <v>100</v>
      </c>
      <c r="Y28" s="187">
        <v>100</v>
      </c>
      <c r="Z28" s="187">
        <v>100</v>
      </c>
      <c r="AA28" s="799"/>
      <c r="AB28" s="795"/>
      <c r="AC28" s="795"/>
      <c r="AD28" s="795"/>
      <c r="AE28" s="795"/>
      <c r="AF28" s="799"/>
      <c r="AG28" s="795"/>
      <c r="AH28" s="795"/>
      <c r="AI28" s="795"/>
      <c r="AJ28" s="795"/>
      <c r="AK28" s="799"/>
      <c r="AL28" s="795"/>
      <c r="AM28" s="795"/>
      <c r="AN28" s="795"/>
      <c r="AO28" s="795"/>
      <c r="AP28" s="799"/>
      <c r="AQ28" s="795"/>
      <c r="AR28" s="795"/>
      <c r="AS28" s="795"/>
      <c r="AT28" s="795"/>
      <c r="AU28" s="799"/>
      <c r="AV28" s="795"/>
      <c r="AW28" s="795"/>
      <c r="AX28" s="795"/>
      <c r="AY28" s="795"/>
      <c r="AZ28" s="799"/>
      <c r="BA28" s="795"/>
      <c r="BB28" s="795"/>
      <c r="BC28" s="795"/>
      <c r="BD28" s="795"/>
      <c r="BE28" s="799"/>
      <c r="BF28" s="795"/>
      <c r="BG28" s="795"/>
      <c r="BH28" s="795"/>
      <c r="BI28" s="795"/>
      <c r="BJ28" s="799"/>
      <c r="BK28" s="795"/>
      <c r="BL28" s="795"/>
      <c r="BM28" s="795"/>
      <c r="BN28" s="795"/>
      <c r="BO28" s="799"/>
      <c r="BP28" s="795"/>
      <c r="BQ28" s="795"/>
      <c r="BR28" s="795"/>
      <c r="BS28" s="795"/>
      <c r="BT28" s="799"/>
      <c r="BU28" s="795"/>
      <c r="BV28" s="795"/>
      <c r="BW28" s="795"/>
      <c r="BX28" s="795"/>
      <c r="BY28" s="799"/>
      <c r="BZ28" s="795"/>
      <c r="CA28" s="795"/>
      <c r="CB28" s="795"/>
      <c r="CC28" s="795"/>
      <c r="CD28" s="799"/>
      <c r="CE28" s="795"/>
      <c r="CF28" s="795"/>
      <c r="CG28" s="795"/>
      <c r="CH28" s="795"/>
      <c r="CI28" s="799"/>
      <c r="CJ28" s="795"/>
      <c r="CK28" s="795"/>
      <c r="CL28" s="795"/>
      <c r="CM28" s="795"/>
      <c r="CN28" s="799"/>
      <c r="CO28" s="795"/>
      <c r="CP28" s="795"/>
      <c r="CQ28" s="795"/>
      <c r="CR28" s="795"/>
      <c r="CS28" s="823">
        <f t="shared" ref="CS28" si="18">CN28-CO28-CP28-CQ28-CR28</f>
        <v>0</v>
      </c>
      <c r="CT28" s="471"/>
    </row>
    <row r="29" spans="1:98" s="6" customFormat="1" ht="120" x14ac:dyDescent="0.3">
      <c r="A29" s="171" t="s">
        <v>79</v>
      </c>
      <c r="B29" s="188" t="s">
        <v>1041</v>
      </c>
      <c r="C29" s="188" t="s">
        <v>72</v>
      </c>
      <c r="D29" s="187" t="s">
        <v>73</v>
      </c>
      <c r="E29" s="187" t="s">
        <v>52</v>
      </c>
      <c r="F29" s="45" t="s">
        <v>979</v>
      </c>
      <c r="G29" s="40" t="s">
        <v>62</v>
      </c>
      <c r="H29" s="450">
        <v>0</v>
      </c>
      <c r="I29" s="450">
        <v>10</v>
      </c>
      <c r="J29" s="450">
        <v>10</v>
      </c>
      <c r="K29" s="450">
        <v>10</v>
      </c>
      <c r="L29" s="450">
        <v>10</v>
      </c>
      <c r="M29" s="645">
        <v>10</v>
      </c>
      <c r="N29" s="592" t="s">
        <v>1494</v>
      </c>
      <c r="O29" s="615"/>
      <c r="P29" s="556"/>
      <c r="Q29" s="43">
        <v>10</v>
      </c>
      <c r="R29" s="43">
        <v>10</v>
      </c>
      <c r="S29" s="43">
        <v>10</v>
      </c>
      <c r="T29" s="43">
        <v>10</v>
      </c>
      <c r="U29" s="43">
        <v>5</v>
      </c>
      <c r="V29" s="43">
        <v>5</v>
      </c>
      <c r="W29" s="43">
        <v>5</v>
      </c>
      <c r="X29" s="43">
        <v>3</v>
      </c>
      <c r="Y29" s="43">
        <v>2</v>
      </c>
      <c r="Z29" s="43">
        <v>2</v>
      </c>
      <c r="AA29" s="799"/>
      <c r="AB29" s="795"/>
      <c r="AC29" s="795"/>
      <c r="AD29" s="795"/>
      <c r="AE29" s="795"/>
      <c r="AF29" s="799"/>
      <c r="AG29" s="795"/>
      <c r="AH29" s="795"/>
      <c r="AI29" s="795"/>
      <c r="AJ29" s="795"/>
      <c r="AK29" s="799"/>
      <c r="AL29" s="795"/>
      <c r="AM29" s="795"/>
      <c r="AN29" s="795"/>
      <c r="AO29" s="795"/>
      <c r="AP29" s="799"/>
      <c r="AQ29" s="795"/>
      <c r="AR29" s="795"/>
      <c r="AS29" s="795"/>
      <c r="AT29" s="795"/>
      <c r="AU29" s="799"/>
      <c r="AV29" s="795"/>
      <c r="AW29" s="795"/>
      <c r="AX29" s="795"/>
      <c r="AY29" s="795"/>
      <c r="AZ29" s="799"/>
      <c r="BA29" s="795"/>
      <c r="BB29" s="795"/>
      <c r="BC29" s="795"/>
      <c r="BD29" s="795"/>
      <c r="BE29" s="799"/>
      <c r="BF29" s="795"/>
      <c r="BG29" s="795"/>
      <c r="BH29" s="795"/>
      <c r="BI29" s="795"/>
      <c r="BJ29" s="799"/>
      <c r="BK29" s="795"/>
      <c r="BL29" s="795"/>
      <c r="BM29" s="795"/>
      <c r="BN29" s="795"/>
      <c r="BO29" s="799"/>
      <c r="BP29" s="795"/>
      <c r="BQ29" s="795"/>
      <c r="BR29" s="795"/>
      <c r="BS29" s="795"/>
      <c r="BT29" s="799"/>
      <c r="BU29" s="795"/>
      <c r="BV29" s="795"/>
      <c r="BW29" s="795"/>
      <c r="BX29" s="795"/>
      <c r="BY29" s="799"/>
      <c r="BZ29" s="795"/>
      <c r="CA29" s="795"/>
      <c r="CB29" s="795"/>
      <c r="CC29" s="795"/>
      <c r="CD29" s="799"/>
      <c r="CE29" s="795"/>
      <c r="CF29" s="795"/>
      <c r="CG29" s="795"/>
      <c r="CH29" s="795"/>
      <c r="CI29" s="799"/>
      <c r="CJ29" s="795"/>
      <c r="CK29" s="795"/>
      <c r="CL29" s="795"/>
      <c r="CM29" s="795"/>
      <c r="CN29" s="799"/>
      <c r="CO29" s="795"/>
      <c r="CP29" s="795"/>
      <c r="CQ29" s="795"/>
      <c r="CR29" s="795"/>
      <c r="CS29" s="823"/>
      <c r="CT29" s="471"/>
    </row>
    <row r="30" spans="1:98" s="6" customFormat="1" ht="72" x14ac:dyDescent="0.3">
      <c r="A30" s="171" t="s">
        <v>59</v>
      </c>
      <c r="B30" s="189" t="s">
        <v>76</v>
      </c>
      <c r="C30" s="188" t="s">
        <v>977</v>
      </c>
      <c r="D30" s="187" t="s">
        <v>814</v>
      </c>
      <c r="E30" s="187" t="s">
        <v>52</v>
      </c>
      <c r="F30" s="192" t="s">
        <v>976</v>
      </c>
      <c r="G30" s="40" t="s">
        <v>62</v>
      </c>
      <c r="H30" s="534">
        <v>5</v>
      </c>
      <c r="I30" s="124">
        <v>5</v>
      </c>
      <c r="J30" s="633">
        <v>8</v>
      </c>
      <c r="K30" s="124">
        <v>10.5</v>
      </c>
      <c r="L30" s="633">
        <v>10</v>
      </c>
      <c r="M30" s="705">
        <v>12</v>
      </c>
      <c r="N30" s="592" t="s">
        <v>1495</v>
      </c>
      <c r="O30" s="615"/>
      <c r="P30" s="556"/>
      <c r="Q30" s="187">
        <v>10</v>
      </c>
      <c r="R30" s="187">
        <v>12</v>
      </c>
      <c r="S30" s="187">
        <v>15</v>
      </c>
      <c r="T30" s="187">
        <v>18</v>
      </c>
      <c r="U30" s="187">
        <v>20</v>
      </c>
      <c r="V30" s="187">
        <v>22</v>
      </c>
      <c r="W30" s="187">
        <v>24</v>
      </c>
      <c r="X30" s="187">
        <v>26</v>
      </c>
      <c r="Y30" s="187">
        <v>28</v>
      </c>
      <c r="Z30" s="187">
        <v>30</v>
      </c>
      <c r="AA30" s="799"/>
      <c r="AB30" s="795"/>
      <c r="AC30" s="795"/>
      <c r="AD30" s="795"/>
      <c r="AE30" s="795"/>
      <c r="AF30" s="799"/>
      <c r="AG30" s="795"/>
      <c r="AH30" s="795"/>
      <c r="AI30" s="795"/>
      <c r="AJ30" s="795"/>
      <c r="AK30" s="799"/>
      <c r="AL30" s="795"/>
      <c r="AM30" s="795"/>
      <c r="AN30" s="795"/>
      <c r="AO30" s="795"/>
      <c r="AP30" s="799"/>
      <c r="AQ30" s="795"/>
      <c r="AR30" s="795"/>
      <c r="AS30" s="795"/>
      <c r="AT30" s="795"/>
      <c r="AU30" s="799"/>
      <c r="AV30" s="795"/>
      <c r="AW30" s="795"/>
      <c r="AX30" s="795"/>
      <c r="AY30" s="795"/>
      <c r="AZ30" s="799"/>
      <c r="BA30" s="795"/>
      <c r="BB30" s="795"/>
      <c r="BC30" s="795"/>
      <c r="BD30" s="795"/>
      <c r="BE30" s="799"/>
      <c r="BF30" s="795"/>
      <c r="BG30" s="795"/>
      <c r="BH30" s="795"/>
      <c r="BI30" s="795"/>
      <c r="BJ30" s="799"/>
      <c r="BK30" s="795"/>
      <c r="BL30" s="795"/>
      <c r="BM30" s="795"/>
      <c r="BN30" s="795"/>
      <c r="BO30" s="799"/>
      <c r="BP30" s="795"/>
      <c r="BQ30" s="795"/>
      <c r="BR30" s="795"/>
      <c r="BS30" s="795"/>
      <c r="BT30" s="799"/>
      <c r="BU30" s="795"/>
      <c r="BV30" s="795"/>
      <c r="BW30" s="795"/>
      <c r="BX30" s="795"/>
      <c r="BY30" s="799"/>
      <c r="BZ30" s="795"/>
      <c r="CA30" s="795"/>
      <c r="CB30" s="795"/>
      <c r="CC30" s="795"/>
      <c r="CD30" s="799"/>
      <c r="CE30" s="795"/>
      <c r="CF30" s="795"/>
      <c r="CG30" s="795"/>
      <c r="CH30" s="795"/>
      <c r="CI30" s="799"/>
      <c r="CJ30" s="795"/>
      <c r="CK30" s="795"/>
      <c r="CL30" s="795"/>
      <c r="CM30" s="795"/>
      <c r="CN30" s="799"/>
      <c r="CO30" s="795"/>
      <c r="CP30" s="795"/>
      <c r="CQ30" s="795"/>
      <c r="CR30" s="795"/>
      <c r="CS30" s="823">
        <f t="shared" ref="CS30" si="19">CN30-CO30-CP30-CQ30-CR30</f>
        <v>0</v>
      </c>
      <c r="CT30" s="471"/>
    </row>
    <row r="31" spans="1:98" s="6" customFormat="1" ht="168" x14ac:dyDescent="0.35">
      <c r="A31" s="171" t="s">
        <v>92</v>
      </c>
      <c r="B31" s="189" t="s">
        <v>1205</v>
      </c>
      <c r="C31" s="188" t="s">
        <v>78</v>
      </c>
      <c r="D31" s="187" t="s">
        <v>814</v>
      </c>
      <c r="E31" s="187" t="s">
        <v>52</v>
      </c>
      <c r="F31" s="192" t="s">
        <v>975</v>
      </c>
      <c r="G31" s="40" t="s">
        <v>62</v>
      </c>
      <c r="H31" s="534">
        <v>0</v>
      </c>
      <c r="I31" s="124">
        <v>100</v>
      </c>
      <c r="J31" s="633">
        <v>100</v>
      </c>
      <c r="K31" s="124">
        <v>100</v>
      </c>
      <c r="L31" s="633">
        <v>100</v>
      </c>
      <c r="M31" s="705">
        <v>100</v>
      </c>
      <c r="N31" s="593"/>
      <c r="O31" s="442"/>
      <c r="P31" s="441"/>
      <c r="Q31" s="187">
        <v>100</v>
      </c>
      <c r="R31" s="187">
        <v>100</v>
      </c>
      <c r="S31" s="187">
        <v>100</v>
      </c>
      <c r="T31" s="187">
        <v>100</v>
      </c>
      <c r="U31" s="187">
        <v>100</v>
      </c>
      <c r="V31" s="187">
        <v>100</v>
      </c>
      <c r="W31" s="187">
        <v>100</v>
      </c>
      <c r="X31" s="187">
        <v>100</v>
      </c>
      <c r="Y31" s="187">
        <v>100</v>
      </c>
      <c r="Z31" s="187">
        <v>100</v>
      </c>
      <c r="AA31" s="774"/>
      <c r="AB31" s="792"/>
      <c r="AC31" s="792"/>
      <c r="AD31" s="792"/>
      <c r="AE31" s="792"/>
      <c r="AF31" s="774"/>
      <c r="AG31" s="792"/>
      <c r="AH31" s="792"/>
      <c r="AI31" s="792"/>
      <c r="AJ31" s="792"/>
      <c r="AK31" s="774"/>
      <c r="AL31" s="792"/>
      <c r="AM31" s="792"/>
      <c r="AN31" s="792"/>
      <c r="AO31" s="792"/>
      <c r="AP31" s="774"/>
      <c r="AQ31" s="792"/>
      <c r="AR31" s="792"/>
      <c r="AS31" s="792"/>
      <c r="AT31" s="792"/>
      <c r="AU31" s="774"/>
      <c r="AV31" s="792"/>
      <c r="AW31" s="792"/>
      <c r="AX31" s="792"/>
      <c r="AY31" s="792"/>
      <c r="AZ31" s="774"/>
      <c r="BA31" s="792"/>
      <c r="BB31" s="792"/>
      <c r="BC31" s="792"/>
      <c r="BD31" s="792"/>
      <c r="BE31" s="774"/>
      <c r="BF31" s="792"/>
      <c r="BG31" s="792"/>
      <c r="BH31" s="792"/>
      <c r="BI31" s="792"/>
      <c r="BJ31" s="774"/>
      <c r="BK31" s="792"/>
      <c r="BL31" s="792"/>
      <c r="BM31" s="792"/>
      <c r="BN31" s="792"/>
      <c r="BO31" s="774"/>
      <c r="BP31" s="792"/>
      <c r="BQ31" s="792"/>
      <c r="BR31" s="792"/>
      <c r="BS31" s="792"/>
      <c r="BT31" s="774"/>
      <c r="BU31" s="792"/>
      <c r="BV31" s="792"/>
      <c r="BW31" s="792"/>
      <c r="BX31" s="792"/>
      <c r="BY31" s="774"/>
      <c r="BZ31" s="792"/>
      <c r="CA31" s="792"/>
      <c r="CB31" s="792"/>
      <c r="CC31" s="792"/>
      <c r="CD31" s="774"/>
      <c r="CE31" s="792"/>
      <c r="CF31" s="792"/>
      <c r="CG31" s="792"/>
      <c r="CH31" s="792"/>
      <c r="CI31" s="774"/>
      <c r="CJ31" s="792"/>
      <c r="CK31" s="792"/>
      <c r="CL31" s="792"/>
      <c r="CM31" s="792"/>
      <c r="CN31" s="774"/>
      <c r="CO31" s="792"/>
      <c r="CP31" s="792"/>
      <c r="CQ31" s="792"/>
      <c r="CR31" s="792"/>
      <c r="CS31" s="776"/>
      <c r="CT31" s="471"/>
    </row>
    <row r="32" spans="1:98" s="6" customFormat="1" ht="312" x14ac:dyDescent="0.3">
      <c r="A32" s="171" t="s">
        <v>96</v>
      </c>
      <c r="B32" s="189" t="s">
        <v>80</v>
      </c>
      <c r="C32" s="189" t="s">
        <v>1025</v>
      </c>
      <c r="D32" s="160" t="s">
        <v>73</v>
      </c>
      <c r="E32" s="187" t="s">
        <v>52</v>
      </c>
      <c r="F32" s="46" t="s">
        <v>1026</v>
      </c>
      <c r="G32" s="40" t="s">
        <v>62</v>
      </c>
      <c r="H32" s="534">
        <v>99</v>
      </c>
      <c r="I32" s="124">
        <v>100</v>
      </c>
      <c r="J32" s="633">
        <v>100</v>
      </c>
      <c r="K32" s="522">
        <v>100</v>
      </c>
      <c r="L32" s="633">
        <v>100</v>
      </c>
      <c r="M32" s="705">
        <v>100</v>
      </c>
      <c r="N32" s="592"/>
      <c r="O32" s="615"/>
      <c r="P32" s="556"/>
      <c r="Q32" s="187">
        <v>100</v>
      </c>
      <c r="R32" s="187">
        <v>100</v>
      </c>
      <c r="S32" s="187">
        <v>100</v>
      </c>
      <c r="T32" s="187">
        <v>100</v>
      </c>
      <c r="U32" s="187">
        <v>100</v>
      </c>
      <c r="V32" s="187">
        <v>100</v>
      </c>
      <c r="W32" s="187">
        <v>100</v>
      </c>
      <c r="X32" s="187">
        <v>100</v>
      </c>
      <c r="Y32" s="187">
        <v>100</v>
      </c>
      <c r="Z32" s="187">
        <v>100</v>
      </c>
      <c r="AA32" s="181">
        <f t="shared" ref="AA32" si="20">SUM(AB32:AE32)</f>
        <v>1009.7</v>
      </c>
      <c r="AB32" s="180"/>
      <c r="AC32" s="180">
        <v>1009.7</v>
      </c>
      <c r="AD32" s="180"/>
      <c r="AE32" s="180"/>
      <c r="AF32" s="181">
        <f t="shared" ref="AF32" si="21">SUM(AG32:AJ32)</f>
        <v>1009.7</v>
      </c>
      <c r="AG32" s="180"/>
      <c r="AH32" s="180">
        <v>1009.7</v>
      </c>
      <c r="AI32" s="180"/>
      <c r="AJ32" s="180"/>
      <c r="AK32" s="181">
        <f t="shared" ref="AK32" si="22">SUM(AL32:AO32)</f>
        <v>1009.7</v>
      </c>
      <c r="AL32" s="180"/>
      <c r="AM32" s="180">
        <v>1009.7</v>
      </c>
      <c r="AN32" s="180"/>
      <c r="AO32" s="180"/>
      <c r="AP32" s="181">
        <f t="shared" ref="AP32" si="23">SUM(AQ32:AT32)</f>
        <v>1009.7</v>
      </c>
      <c r="AQ32" s="180"/>
      <c r="AR32" s="180">
        <v>1009.7</v>
      </c>
      <c r="AS32" s="180"/>
      <c r="AT32" s="180"/>
      <c r="AU32" s="181">
        <f t="shared" ref="AU32" si="24">SUM(AV32:AY32)</f>
        <v>1009.7</v>
      </c>
      <c r="AV32" s="180"/>
      <c r="AW32" s="180">
        <v>1009.7</v>
      </c>
      <c r="AX32" s="180"/>
      <c r="AY32" s="180"/>
      <c r="AZ32" s="181">
        <f t="shared" ref="AZ32" si="25">SUM(BA32:BD32)</f>
        <v>1009.7</v>
      </c>
      <c r="BA32" s="180"/>
      <c r="BB32" s="180">
        <v>1009.7</v>
      </c>
      <c r="BC32" s="180"/>
      <c r="BD32" s="180"/>
      <c r="BE32" s="181">
        <f t="shared" ref="BE32" si="26">SUM(BF32:BI32)</f>
        <v>1009.7</v>
      </c>
      <c r="BF32" s="180"/>
      <c r="BG32" s="180">
        <v>1009.7</v>
      </c>
      <c r="BH32" s="180"/>
      <c r="BI32" s="180"/>
      <c r="BJ32" s="181">
        <f t="shared" ref="BJ32" si="27">SUM(BK32:BN32)</f>
        <v>1009.7</v>
      </c>
      <c r="BK32" s="180"/>
      <c r="BL32" s="180">
        <v>1009.7</v>
      </c>
      <c r="BM32" s="180"/>
      <c r="BN32" s="180"/>
      <c r="BO32" s="181">
        <f t="shared" ref="BO32" si="28">SUM(BP32:BS32)</f>
        <v>1009.7</v>
      </c>
      <c r="BP32" s="180"/>
      <c r="BQ32" s="180">
        <v>1009.7</v>
      </c>
      <c r="BR32" s="180"/>
      <c r="BS32" s="180"/>
      <c r="BT32" s="181">
        <f t="shared" ref="BT32" si="29">SUM(BU32:BX32)</f>
        <v>1009.7</v>
      </c>
      <c r="BU32" s="180"/>
      <c r="BV32" s="180">
        <v>1009.7</v>
      </c>
      <c r="BW32" s="180"/>
      <c r="BX32" s="180"/>
      <c r="BY32" s="181">
        <f t="shared" ref="BY32" si="30">SUM(BZ32:CC32)</f>
        <v>1009.7</v>
      </c>
      <c r="BZ32" s="180"/>
      <c r="CA32" s="180">
        <v>1009.7</v>
      </c>
      <c r="CB32" s="180"/>
      <c r="CC32" s="180"/>
      <c r="CD32" s="181">
        <f t="shared" ref="CD32" si="31">SUM(CE32:CH32)</f>
        <v>1009.7</v>
      </c>
      <c r="CE32" s="180"/>
      <c r="CF32" s="180">
        <v>1009.7</v>
      </c>
      <c r="CG32" s="180"/>
      <c r="CH32" s="180"/>
      <c r="CI32" s="181">
        <f t="shared" ref="CI32" si="32">AA32+AF32+AK32</f>
        <v>3029.1000000000004</v>
      </c>
      <c r="CJ32" s="180">
        <f t="shared" ref="CJ32" si="33">AB32+AG32+AL32</f>
        <v>0</v>
      </c>
      <c r="CK32" s="180">
        <f t="shared" ref="CK32" si="34">AC32+AH32+AM32</f>
        <v>3029.1000000000004</v>
      </c>
      <c r="CL32" s="180">
        <f t="shared" ref="CL32" si="35">AD32+AI32+AN32</f>
        <v>0</v>
      </c>
      <c r="CM32" s="180">
        <f t="shared" ref="CM32" si="36">AE32+AJ32+AO32</f>
        <v>0</v>
      </c>
      <c r="CN32" s="181">
        <f t="shared" ref="CN32:CR36" si="37">AA32+AF32+AK32+AP32+AU32+AZ32+BE32+BJ32+BO32+BT32+BY32+CD32</f>
        <v>12116.400000000001</v>
      </c>
      <c r="CO32" s="180">
        <f t="shared" si="37"/>
        <v>0</v>
      </c>
      <c r="CP32" s="180">
        <f t="shared" si="37"/>
        <v>12116.400000000001</v>
      </c>
      <c r="CQ32" s="180">
        <f t="shared" si="37"/>
        <v>0</v>
      </c>
      <c r="CR32" s="180">
        <f t="shared" si="37"/>
        <v>0</v>
      </c>
      <c r="CS32" s="273">
        <f>CN32-CO32-CP32-CQ32-CR32</f>
        <v>0</v>
      </c>
      <c r="CT32" s="471"/>
    </row>
    <row r="33" spans="1:98" s="6" customFormat="1" ht="120" x14ac:dyDescent="0.3">
      <c r="A33" s="507" t="s">
        <v>100</v>
      </c>
      <c r="B33" s="506" t="s">
        <v>930</v>
      </c>
      <c r="C33" s="506" t="s">
        <v>1204</v>
      </c>
      <c r="D33" s="503" t="s">
        <v>139</v>
      </c>
      <c r="E33" s="503" t="s">
        <v>52</v>
      </c>
      <c r="F33" s="481" t="s">
        <v>1088</v>
      </c>
      <c r="G33" s="503" t="s">
        <v>931</v>
      </c>
      <c r="H33" s="533">
        <v>42</v>
      </c>
      <c r="I33" s="503">
        <v>67</v>
      </c>
      <c r="J33" s="637">
        <v>67</v>
      </c>
      <c r="K33" s="503">
        <v>17</v>
      </c>
      <c r="L33" s="637">
        <v>67</v>
      </c>
      <c r="M33" s="643">
        <v>55</v>
      </c>
      <c r="N33" s="592" t="s">
        <v>1496</v>
      </c>
      <c r="O33" s="615"/>
      <c r="P33" s="545"/>
      <c r="Q33" s="503">
        <v>67</v>
      </c>
      <c r="R33" s="503">
        <v>67</v>
      </c>
      <c r="S33" s="503">
        <v>67</v>
      </c>
      <c r="T33" s="503">
        <v>67</v>
      </c>
      <c r="U33" s="503">
        <v>67</v>
      </c>
      <c r="V33" s="503">
        <v>67</v>
      </c>
      <c r="W33" s="503">
        <v>67</v>
      </c>
      <c r="X33" s="503">
        <v>67</v>
      </c>
      <c r="Y33" s="503">
        <v>67</v>
      </c>
      <c r="Z33" s="503">
        <v>67</v>
      </c>
      <c r="AA33" s="501">
        <v>3571.8</v>
      </c>
      <c r="AB33" s="492">
        <v>3571.8</v>
      </c>
      <c r="AC33" s="422"/>
      <c r="AD33" s="202"/>
      <c r="AE33" s="202"/>
      <c r="AF33" s="501">
        <v>3571.8</v>
      </c>
      <c r="AG33" s="492">
        <v>1168.8</v>
      </c>
      <c r="AH33" s="422"/>
      <c r="AI33" s="202"/>
      <c r="AJ33" s="202"/>
      <c r="AK33" s="501">
        <v>3571.8</v>
      </c>
      <c r="AL33" s="492">
        <v>1168.8</v>
      </c>
      <c r="AM33" s="422"/>
      <c r="AN33" s="202"/>
      <c r="AO33" s="202"/>
      <c r="AP33" s="501">
        <v>3571.8</v>
      </c>
      <c r="AQ33" s="492">
        <v>3571.8</v>
      </c>
      <c r="AR33" s="422"/>
      <c r="AS33" s="202"/>
      <c r="AT33" s="202"/>
      <c r="AU33" s="501">
        <v>3571.8</v>
      </c>
      <c r="AV33" s="492">
        <v>3571.8</v>
      </c>
      <c r="AW33" s="422"/>
      <c r="AX33" s="202"/>
      <c r="AY33" s="202"/>
      <c r="AZ33" s="501">
        <v>3571.8</v>
      </c>
      <c r="BA33" s="492">
        <v>3571.8</v>
      </c>
      <c r="BB33" s="422"/>
      <c r="BC33" s="202"/>
      <c r="BD33" s="202"/>
      <c r="BE33" s="501">
        <v>3571.8</v>
      </c>
      <c r="BF33" s="492">
        <v>3571.8</v>
      </c>
      <c r="BG33" s="422"/>
      <c r="BH33" s="202"/>
      <c r="BI33" s="202"/>
      <c r="BJ33" s="501">
        <v>3571.8</v>
      </c>
      <c r="BK33" s="492">
        <v>3571.8</v>
      </c>
      <c r="BL33" s="422"/>
      <c r="BM33" s="202"/>
      <c r="BN33" s="202"/>
      <c r="BO33" s="501">
        <v>3571.8</v>
      </c>
      <c r="BP33" s="492">
        <v>3571.8</v>
      </c>
      <c r="BQ33" s="422"/>
      <c r="BR33" s="202"/>
      <c r="BS33" s="202"/>
      <c r="BT33" s="501">
        <v>3571.8</v>
      </c>
      <c r="BU33" s="492">
        <v>3571.8</v>
      </c>
      <c r="BV33" s="422"/>
      <c r="BW33" s="202"/>
      <c r="BX33" s="202"/>
      <c r="BY33" s="501">
        <v>3571.8</v>
      </c>
      <c r="BZ33" s="492">
        <v>3571.8</v>
      </c>
      <c r="CA33" s="422"/>
      <c r="CB33" s="202"/>
      <c r="CC33" s="202"/>
      <c r="CD33" s="501">
        <v>3571.8</v>
      </c>
      <c r="CE33" s="492">
        <v>3571.8</v>
      </c>
      <c r="CF33" s="422"/>
      <c r="CG33" s="202"/>
      <c r="CH33" s="202"/>
      <c r="CI33" s="501">
        <f t="shared" ref="CI33" si="38">AA33+AF33+AK33</f>
        <v>10715.400000000001</v>
      </c>
      <c r="CJ33" s="492">
        <f t="shared" ref="CJ33" si="39">AB33+AG33+AL33</f>
        <v>5909.4000000000005</v>
      </c>
      <c r="CK33" s="492">
        <f t="shared" ref="CK33" si="40">AC33+AH33+AM33</f>
        <v>0</v>
      </c>
      <c r="CL33" s="492">
        <f t="shared" ref="CL33" si="41">AD33+AI33+AN33</f>
        <v>0</v>
      </c>
      <c r="CM33" s="492">
        <f t="shared" ref="CM33" si="42">AE33+AJ33+AO33</f>
        <v>0</v>
      </c>
      <c r="CN33" s="501">
        <f t="shared" si="37"/>
        <v>42861.600000000006</v>
      </c>
      <c r="CO33" s="492">
        <f t="shared" si="37"/>
        <v>38055.599999999999</v>
      </c>
      <c r="CP33" s="492">
        <f t="shared" si="37"/>
        <v>0</v>
      </c>
      <c r="CQ33" s="492">
        <f t="shared" si="37"/>
        <v>0</v>
      </c>
      <c r="CR33" s="492">
        <f t="shared" si="37"/>
        <v>0</v>
      </c>
      <c r="CS33" s="501">
        <f>CN33-CO33-CP33-CQ33-CR33</f>
        <v>4806.0000000000073</v>
      </c>
      <c r="CT33" s="471"/>
    </row>
    <row r="34" spans="1:98" s="6" customFormat="1" ht="144" x14ac:dyDescent="0.3">
      <c r="A34" s="171" t="s">
        <v>1246</v>
      </c>
      <c r="B34" s="189" t="s">
        <v>1019</v>
      </c>
      <c r="C34" s="189" t="s">
        <v>853</v>
      </c>
      <c r="D34" s="42" t="s">
        <v>28</v>
      </c>
      <c r="E34" s="187" t="s">
        <v>84</v>
      </c>
      <c r="F34" s="814" t="s">
        <v>85</v>
      </c>
      <c r="G34" s="728" t="s">
        <v>62</v>
      </c>
      <c r="H34" s="724">
        <v>93</v>
      </c>
      <c r="I34" s="522">
        <v>96.9</v>
      </c>
      <c r="J34" s="724">
        <v>96.9</v>
      </c>
      <c r="K34" s="724">
        <v>99</v>
      </c>
      <c r="L34" s="724">
        <v>96.9</v>
      </c>
      <c r="M34" s="726">
        <v>79.2</v>
      </c>
      <c r="N34" s="800"/>
      <c r="O34" s="920" t="s">
        <v>1720</v>
      </c>
      <c r="P34" s="554"/>
      <c r="Q34" s="187">
        <v>96.9</v>
      </c>
      <c r="R34" s="187">
        <v>96.9</v>
      </c>
      <c r="S34" s="187">
        <v>96.9</v>
      </c>
      <c r="T34" s="187">
        <v>96.9</v>
      </c>
      <c r="U34" s="187">
        <v>96.9</v>
      </c>
      <c r="V34" s="187">
        <v>96.9</v>
      </c>
      <c r="W34" s="187">
        <v>96.9</v>
      </c>
      <c r="X34" s="187">
        <v>96.9</v>
      </c>
      <c r="Y34" s="187">
        <v>96.9</v>
      </c>
      <c r="Z34" s="187">
        <v>96.9</v>
      </c>
      <c r="AA34" s="180"/>
      <c r="AB34" s="180"/>
      <c r="AC34" s="180"/>
      <c r="AD34" s="180"/>
      <c r="AE34" s="180"/>
      <c r="AF34" s="180"/>
      <c r="AG34" s="180"/>
      <c r="AH34" s="180"/>
      <c r="AI34" s="180"/>
      <c r="AJ34" s="180"/>
      <c r="AK34" s="180"/>
      <c r="AL34" s="180"/>
      <c r="AM34" s="180"/>
      <c r="AN34" s="180"/>
      <c r="AO34" s="180"/>
      <c r="AP34" s="181"/>
      <c r="AQ34" s="180"/>
      <c r="AR34" s="180"/>
      <c r="AS34" s="180"/>
      <c r="AT34" s="180"/>
      <c r="AU34" s="181"/>
      <c r="AV34" s="180"/>
      <c r="AW34" s="180"/>
      <c r="AX34" s="180"/>
      <c r="AY34" s="180"/>
      <c r="AZ34" s="181"/>
      <c r="BA34" s="180"/>
      <c r="BB34" s="180"/>
      <c r="BC34" s="180"/>
      <c r="BD34" s="180"/>
      <c r="BE34" s="181">
        <v>11508.5</v>
      </c>
      <c r="BF34" s="180"/>
      <c r="BG34" s="180"/>
      <c r="BH34" s="180"/>
      <c r="BI34" s="180"/>
      <c r="BJ34" s="181">
        <v>57542.3</v>
      </c>
      <c r="BK34" s="180"/>
      <c r="BL34" s="180"/>
      <c r="BM34" s="180"/>
      <c r="BN34" s="180"/>
      <c r="BO34" s="181">
        <v>115084.7</v>
      </c>
      <c r="BP34" s="180"/>
      <c r="BQ34" s="180"/>
      <c r="BR34" s="180"/>
      <c r="BS34" s="180"/>
      <c r="BT34" s="181">
        <v>172627</v>
      </c>
      <c r="BU34" s="180"/>
      <c r="BV34" s="180"/>
      <c r="BW34" s="180"/>
      <c r="BX34" s="180"/>
      <c r="BY34" s="181">
        <v>172627</v>
      </c>
      <c r="BZ34" s="180"/>
      <c r="CA34" s="180"/>
      <c r="CB34" s="180"/>
      <c r="CC34" s="180"/>
      <c r="CD34" s="181">
        <v>46033.9</v>
      </c>
      <c r="CE34" s="180"/>
      <c r="CF34" s="180"/>
      <c r="CG34" s="180"/>
      <c r="CH34" s="180"/>
      <c r="CI34" s="181">
        <f t="shared" ref="CI34:CI36" si="43">AA34+AF34+AK34</f>
        <v>0</v>
      </c>
      <c r="CJ34" s="180">
        <f t="shared" ref="CJ34:CJ36" si="44">AB34+AG34+AL34</f>
        <v>0</v>
      </c>
      <c r="CK34" s="180">
        <f t="shared" ref="CK34:CK36" si="45">AC34+AH34+AM34</f>
        <v>0</v>
      </c>
      <c r="CL34" s="180">
        <f t="shared" ref="CL34:CL36" si="46">AD34+AI34+AN34</f>
        <v>0</v>
      </c>
      <c r="CM34" s="180">
        <f t="shared" ref="CM34:CM36" si="47">AE34+AJ34+AO34</f>
        <v>0</v>
      </c>
      <c r="CN34" s="181">
        <f t="shared" si="37"/>
        <v>575423.4</v>
      </c>
      <c r="CO34" s="180">
        <f t="shared" si="37"/>
        <v>0</v>
      </c>
      <c r="CP34" s="180">
        <f t="shared" si="37"/>
        <v>0</v>
      </c>
      <c r="CQ34" s="180">
        <f t="shared" si="37"/>
        <v>0</v>
      </c>
      <c r="CR34" s="180">
        <f t="shared" si="37"/>
        <v>0</v>
      </c>
      <c r="CS34" s="273">
        <f>CN34-CO34-CP34-CQ34-CR34</f>
        <v>575423.4</v>
      </c>
      <c r="CT34" s="471"/>
    </row>
    <row r="35" spans="1:98" s="6" customFormat="1" ht="168" x14ac:dyDescent="0.3">
      <c r="A35" s="171" t="s">
        <v>1247</v>
      </c>
      <c r="B35" s="189" t="s">
        <v>1203</v>
      </c>
      <c r="C35" s="188" t="s">
        <v>854</v>
      </c>
      <c r="D35" s="42" t="s">
        <v>28</v>
      </c>
      <c r="E35" s="187" t="s">
        <v>87</v>
      </c>
      <c r="F35" s="815"/>
      <c r="G35" s="729"/>
      <c r="H35" s="725"/>
      <c r="I35" s="522">
        <v>96.9</v>
      </c>
      <c r="J35" s="725"/>
      <c r="K35" s="725"/>
      <c r="L35" s="725"/>
      <c r="M35" s="727"/>
      <c r="N35" s="801"/>
      <c r="O35" s="921"/>
      <c r="P35" s="555"/>
      <c r="Q35" s="187">
        <v>96.9</v>
      </c>
      <c r="R35" s="187">
        <v>96.9</v>
      </c>
      <c r="S35" s="187">
        <v>96.9</v>
      </c>
      <c r="T35" s="187">
        <v>96.9</v>
      </c>
      <c r="U35" s="187">
        <v>96.9</v>
      </c>
      <c r="V35" s="187">
        <v>96.9</v>
      </c>
      <c r="W35" s="187">
        <v>96.9</v>
      </c>
      <c r="X35" s="187">
        <v>96.9</v>
      </c>
      <c r="Y35" s="187">
        <v>96.9</v>
      </c>
      <c r="Z35" s="187">
        <v>96.9</v>
      </c>
      <c r="AA35" s="180"/>
      <c r="AB35" s="180"/>
      <c r="AC35" s="180"/>
      <c r="AD35" s="180"/>
      <c r="AE35" s="180"/>
      <c r="AF35" s="180"/>
      <c r="AG35" s="180"/>
      <c r="AH35" s="180"/>
      <c r="AI35" s="180"/>
      <c r="AJ35" s="180"/>
      <c r="AK35" s="180"/>
      <c r="AL35" s="180"/>
      <c r="AM35" s="180"/>
      <c r="AN35" s="180"/>
      <c r="AO35" s="180"/>
      <c r="AP35" s="181">
        <v>10960.4</v>
      </c>
      <c r="AQ35" s="180"/>
      <c r="AR35" s="180"/>
      <c r="AS35" s="180"/>
      <c r="AT35" s="180"/>
      <c r="AU35" s="181">
        <v>54802.2</v>
      </c>
      <c r="AV35" s="180"/>
      <c r="AW35" s="180"/>
      <c r="AX35" s="180"/>
      <c r="AY35" s="180"/>
      <c r="AZ35" s="181">
        <v>109604.5</v>
      </c>
      <c r="BA35" s="180"/>
      <c r="BB35" s="180"/>
      <c r="BC35" s="180"/>
      <c r="BD35" s="180"/>
      <c r="BE35" s="181">
        <v>164406.70000000001</v>
      </c>
      <c r="BF35" s="180"/>
      <c r="BG35" s="180"/>
      <c r="BH35" s="180"/>
      <c r="BI35" s="180"/>
      <c r="BJ35" s="181">
        <v>164406.70000000001</v>
      </c>
      <c r="BK35" s="180"/>
      <c r="BL35" s="180"/>
      <c r="BM35" s="180"/>
      <c r="BN35" s="180"/>
      <c r="BO35" s="181">
        <v>43841.8</v>
      </c>
      <c r="BP35" s="180"/>
      <c r="BQ35" s="180"/>
      <c r="BR35" s="180"/>
      <c r="BS35" s="180"/>
      <c r="BT35" s="181"/>
      <c r="BU35" s="180"/>
      <c r="BV35" s="180"/>
      <c r="BW35" s="180"/>
      <c r="BX35" s="180"/>
      <c r="BY35" s="181"/>
      <c r="BZ35" s="180"/>
      <c r="CA35" s="180"/>
      <c r="CB35" s="180"/>
      <c r="CC35" s="180"/>
      <c r="CD35" s="181"/>
      <c r="CE35" s="180"/>
      <c r="CF35" s="180"/>
      <c r="CG35" s="180"/>
      <c r="CH35" s="180"/>
      <c r="CI35" s="181">
        <f t="shared" si="43"/>
        <v>0</v>
      </c>
      <c r="CJ35" s="180">
        <f t="shared" si="44"/>
        <v>0</v>
      </c>
      <c r="CK35" s="180">
        <f t="shared" si="45"/>
        <v>0</v>
      </c>
      <c r="CL35" s="180">
        <f t="shared" si="46"/>
        <v>0</v>
      </c>
      <c r="CM35" s="180">
        <f t="shared" si="47"/>
        <v>0</v>
      </c>
      <c r="CN35" s="181">
        <f t="shared" si="37"/>
        <v>548022.30000000005</v>
      </c>
      <c r="CO35" s="180">
        <f t="shared" si="37"/>
        <v>0</v>
      </c>
      <c r="CP35" s="180">
        <f t="shared" si="37"/>
        <v>0</v>
      </c>
      <c r="CQ35" s="180">
        <f t="shared" si="37"/>
        <v>0</v>
      </c>
      <c r="CR35" s="180">
        <f t="shared" si="37"/>
        <v>0</v>
      </c>
      <c r="CS35" s="273">
        <f>CN35-CO35-CP35-CQ35-CR35</f>
        <v>548022.30000000005</v>
      </c>
      <c r="CT35" s="471"/>
    </row>
    <row r="36" spans="1:98" s="6" customFormat="1" ht="71.25" customHeight="1" x14ac:dyDescent="0.3">
      <c r="A36" s="796" t="s">
        <v>26</v>
      </c>
      <c r="B36" s="804" t="s">
        <v>1027</v>
      </c>
      <c r="C36" s="832" t="s">
        <v>1020</v>
      </c>
      <c r="D36" s="814" t="s">
        <v>28</v>
      </c>
      <c r="E36" s="728" t="s">
        <v>43</v>
      </c>
      <c r="F36" s="324" t="s">
        <v>993</v>
      </c>
      <c r="G36" s="316" t="s">
        <v>31</v>
      </c>
      <c r="H36" s="533"/>
      <c r="I36" s="316"/>
      <c r="J36" s="637"/>
      <c r="K36" s="316"/>
      <c r="L36" s="637"/>
      <c r="M36" s="643"/>
      <c r="N36" s="592"/>
      <c r="O36" s="615"/>
      <c r="P36" s="556"/>
      <c r="Q36" s="316"/>
      <c r="R36" s="316"/>
      <c r="S36" s="316"/>
      <c r="T36" s="316"/>
      <c r="U36" s="316"/>
      <c r="V36" s="316"/>
      <c r="W36" s="316"/>
      <c r="X36" s="316"/>
      <c r="Y36" s="316"/>
      <c r="Z36" s="316">
        <v>1</v>
      </c>
      <c r="AA36" s="791"/>
      <c r="AB36" s="791"/>
      <c r="AC36" s="791"/>
      <c r="AD36" s="791"/>
      <c r="AE36" s="791"/>
      <c r="AF36" s="791"/>
      <c r="AG36" s="791"/>
      <c r="AH36" s="791"/>
      <c r="AI36" s="791"/>
      <c r="AJ36" s="791"/>
      <c r="AK36" s="791"/>
      <c r="AL36" s="791"/>
      <c r="AM36" s="791"/>
      <c r="AN36" s="791"/>
      <c r="AO36" s="791"/>
      <c r="AP36" s="773"/>
      <c r="AQ36" s="791"/>
      <c r="AR36" s="791"/>
      <c r="AS36" s="791"/>
      <c r="AT36" s="791"/>
      <c r="AU36" s="773"/>
      <c r="AV36" s="791"/>
      <c r="AW36" s="791"/>
      <c r="AX36" s="791"/>
      <c r="AY36" s="791"/>
      <c r="AZ36" s="773"/>
      <c r="BA36" s="791"/>
      <c r="BB36" s="791"/>
      <c r="BC36" s="791"/>
      <c r="BD36" s="791"/>
      <c r="BE36" s="773"/>
      <c r="BF36" s="791"/>
      <c r="BG36" s="791"/>
      <c r="BH36" s="791"/>
      <c r="BI36" s="791"/>
      <c r="BJ36" s="773">
        <v>3000</v>
      </c>
      <c r="BK36" s="791"/>
      <c r="BL36" s="791"/>
      <c r="BM36" s="791"/>
      <c r="BN36" s="791"/>
      <c r="BO36" s="773">
        <v>15300</v>
      </c>
      <c r="BP36" s="791"/>
      <c r="BQ36" s="791"/>
      <c r="BR36" s="791"/>
      <c r="BS36" s="791"/>
      <c r="BT36" s="773">
        <v>76500</v>
      </c>
      <c r="BU36" s="791"/>
      <c r="BV36" s="791"/>
      <c r="BW36" s="791"/>
      <c r="BX36" s="791"/>
      <c r="BY36" s="773">
        <v>45900</v>
      </c>
      <c r="BZ36" s="791"/>
      <c r="CA36" s="791"/>
      <c r="CB36" s="791"/>
      <c r="CC36" s="791"/>
      <c r="CD36" s="773">
        <v>12300</v>
      </c>
      <c r="CE36" s="791"/>
      <c r="CF36" s="791"/>
      <c r="CG36" s="791"/>
      <c r="CH36" s="791"/>
      <c r="CI36" s="773">
        <f t="shared" si="43"/>
        <v>0</v>
      </c>
      <c r="CJ36" s="791">
        <f t="shared" si="44"/>
        <v>0</v>
      </c>
      <c r="CK36" s="791">
        <f t="shared" si="45"/>
        <v>0</v>
      </c>
      <c r="CL36" s="791">
        <f t="shared" si="46"/>
        <v>0</v>
      </c>
      <c r="CM36" s="791">
        <f t="shared" si="47"/>
        <v>0</v>
      </c>
      <c r="CN36" s="773">
        <f t="shared" si="37"/>
        <v>153000</v>
      </c>
      <c r="CO36" s="791">
        <f t="shared" si="37"/>
        <v>0</v>
      </c>
      <c r="CP36" s="791">
        <f t="shared" si="37"/>
        <v>0</v>
      </c>
      <c r="CQ36" s="791">
        <f t="shared" si="37"/>
        <v>0</v>
      </c>
      <c r="CR36" s="791">
        <f t="shared" si="37"/>
        <v>0</v>
      </c>
      <c r="CS36" s="773">
        <f>CN36-CO36-CP36-CQ36-CR36</f>
        <v>153000</v>
      </c>
      <c r="CT36" s="471"/>
    </row>
    <row r="37" spans="1:98" s="6" customFormat="1" ht="241.5" customHeight="1" x14ac:dyDescent="0.3">
      <c r="A37" s="797"/>
      <c r="B37" s="805"/>
      <c r="C37" s="833"/>
      <c r="D37" s="815"/>
      <c r="E37" s="729"/>
      <c r="F37" s="324" t="s">
        <v>992</v>
      </c>
      <c r="G37" s="316" t="s">
        <v>62</v>
      </c>
      <c r="H37" s="533"/>
      <c r="I37" s="316"/>
      <c r="J37" s="637"/>
      <c r="K37" s="316"/>
      <c r="L37" s="637"/>
      <c r="M37" s="643"/>
      <c r="N37" s="592"/>
      <c r="O37" s="615"/>
      <c r="P37" s="556"/>
      <c r="Q37" s="316"/>
      <c r="R37" s="316"/>
      <c r="S37" s="316"/>
      <c r="T37" s="316"/>
      <c r="U37" s="316"/>
      <c r="V37" s="316"/>
      <c r="W37" s="316"/>
      <c r="X37" s="316"/>
      <c r="Y37" s="316"/>
      <c r="Z37" s="316">
        <v>10</v>
      </c>
      <c r="AA37" s="792"/>
      <c r="AB37" s="792"/>
      <c r="AC37" s="792"/>
      <c r="AD37" s="792"/>
      <c r="AE37" s="792"/>
      <c r="AF37" s="792"/>
      <c r="AG37" s="792"/>
      <c r="AH37" s="792"/>
      <c r="AI37" s="792"/>
      <c r="AJ37" s="792"/>
      <c r="AK37" s="792"/>
      <c r="AL37" s="792"/>
      <c r="AM37" s="792"/>
      <c r="AN37" s="792"/>
      <c r="AO37" s="792"/>
      <c r="AP37" s="774"/>
      <c r="AQ37" s="792"/>
      <c r="AR37" s="792"/>
      <c r="AS37" s="792"/>
      <c r="AT37" s="792"/>
      <c r="AU37" s="774"/>
      <c r="AV37" s="792"/>
      <c r="AW37" s="792"/>
      <c r="AX37" s="792"/>
      <c r="AY37" s="792"/>
      <c r="AZ37" s="774"/>
      <c r="BA37" s="792"/>
      <c r="BB37" s="792"/>
      <c r="BC37" s="792"/>
      <c r="BD37" s="792"/>
      <c r="BE37" s="774"/>
      <c r="BF37" s="792"/>
      <c r="BG37" s="792"/>
      <c r="BH37" s="792"/>
      <c r="BI37" s="792"/>
      <c r="BJ37" s="774"/>
      <c r="BK37" s="792"/>
      <c r="BL37" s="792"/>
      <c r="BM37" s="792"/>
      <c r="BN37" s="792"/>
      <c r="BO37" s="774"/>
      <c r="BP37" s="792"/>
      <c r="BQ37" s="792"/>
      <c r="BR37" s="792"/>
      <c r="BS37" s="792"/>
      <c r="BT37" s="774"/>
      <c r="BU37" s="792"/>
      <c r="BV37" s="792"/>
      <c r="BW37" s="792"/>
      <c r="BX37" s="792"/>
      <c r="BY37" s="774"/>
      <c r="BZ37" s="792"/>
      <c r="CA37" s="792"/>
      <c r="CB37" s="792"/>
      <c r="CC37" s="792"/>
      <c r="CD37" s="774"/>
      <c r="CE37" s="792"/>
      <c r="CF37" s="792"/>
      <c r="CG37" s="792"/>
      <c r="CH37" s="792"/>
      <c r="CI37" s="774"/>
      <c r="CJ37" s="792"/>
      <c r="CK37" s="792"/>
      <c r="CL37" s="792"/>
      <c r="CM37" s="792"/>
      <c r="CN37" s="774"/>
      <c r="CO37" s="792"/>
      <c r="CP37" s="792"/>
      <c r="CQ37" s="792"/>
      <c r="CR37" s="792"/>
      <c r="CS37" s="774"/>
      <c r="CT37" s="471"/>
    </row>
    <row r="38" spans="1:98" s="6" customFormat="1" ht="409.5" customHeight="1" x14ac:dyDescent="0.3">
      <c r="A38" s="756" t="s">
        <v>32</v>
      </c>
      <c r="B38" s="830" t="s">
        <v>1028</v>
      </c>
      <c r="C38" s="817" t="s">
        <v>90</v>
      </c>
      <c r="D38" s="728" t="s">
        <v>814</v>
      </c>
      <c r="E38" s="728" t="s">
        <v>91</v>
      </c>
      <c r="F38" s="817" t="s">
        <v>973</v>
      </c>
      <c r="G38" s="728" t="s">
        <v>62</v>
      </c>
      <c r="H38" s="728">
        <v>0</v>
      </c>
      <c r="I38" s="728">
        <v>0</v>
      </c>
      <c r="J38" s="728">
        <v>100</v>
      </c>
      <c r="K38" s="728" t="s">
        <v>140</v>
      </c>
      <c r="L38" s="728">
        <v>100</v>
      </c>
      <c r="M38" s="730">
        <v>100</v>
      </c>
      <c r="N38" s="802" t="s">
        <v>1738</v>
      </c>
      <c r="O38" s="817" t="s">
        <v>1637</v>
      </c>
      <c r="P38" s="728"/>
      <c r="Q38" s="406">
        <v>100</v>
      </c>
      <c r="R38" s="406">
        <v>100</v>
      </c>
      <c r="S38" s="406">
        <v>100</v>
      </c>
      <c r="T38" s="406">
        <v>100</v>
      </c>
      <c r="U38" s="406">
        <v>100</v>
      </c>
      <c r="V38" s="406">
        <v>100</v>
      </c>
      <c r="W38" s="406">
        <v>100</v>
      </c>
      <c r="X38" s="406">
        <v>100</v>
      </c>
      <c r="Y38" s="406">
        <v>100</v>
      </c>
      <c r="Z38" s="406">
        <v>100</v>
      </c>
      <c r="AA38" s="423"/>
      <c r="AB38" s="423"/>
      <c r="AC38" s="423"/>
      <c r="AD38" s="423"/>
      <c r="AE38" s="423"/>
      <c r="AF38" s="424">
        <v>1500</v>
      </c>
      <c r="AG38" s="424"/>
      <c r="AH38" s="423"/>
      <c r="AI38" s="423"/>
      <c r="AJ38" s="423"/>
      <c r="AK38" s="424">
        <v>500</v>
      </c>
      <c r="AL38" s="423"/>
      <c r="AM38" s="423"/>
      <c r="AN38" s="423"/>
      <c r="AO38" s="423"/>
      <c r="AP38" s="424">
        <v>500</v>
      </c>
      <c r="AQ38" s="423"/>
      <c r="AR38" s="423"/>
      <c r="AS38" s="423"/>
      <c r="AT38" s="423"/>
      <c r="AU38" s="424">
        <v>500</v>
      </c>
      <c r="AV38" s="423"/>
      <c r="AW38" s="423"/>
      <c r="AX38" s="423"/>
      <c r="AY38" s="423"/>
      <c r="AZ38" s="424">
        <v>500</v>
      </c>
      <c r="BA38" s="423"/>
      <c r="BB38" s="423"/>
      <c r="BC38" s="423"/>
      <c r="BD38" s="423"/>
      <c r="BE38" s="424">
        <f>SUM(BF38:BI38)</f>
        <v>0</v>
      </c>
      <c r="BF38" s="423"/>
      <c r="BG38" s="423"/>
      <c r="BH38" s="423"/>
      <c r="BI38" s="423"/>
      <c r="BJ38" s="424">
        <v>500</v>
      </c>
      <c r="BK38" s="423"/>
      <c r="BL38" s="423"/>
      <c r="BM38" s="423"/>
      <c r="BN38" s="423"/>
      <c r="BO38" s="424">
        <v>500</v>
      </c>
      <c r="BP38" s="424"/>
      <c r="BQ38" s="423"/>
      <c r="BR38" s="423"/>
      <c r="BS38" s="423"/>
      <c r="BT38" s="424">
        <v>500</v>
      </c>
      <c r="BU38" s="424"/>
      <c r="BV38" s="423"/>
      <c r="BW38" s="423"/>
      <c r="BX38" s="423"/>
      <c r="BY38" s="424">
        <v>500</v>
      </c>
      <c r="BZ38" s="424"/>
      <c r="CA38" s="423"/>
      <c r="CB38" s="423"/>
      <c r="CC38" s="423"/>
      <c r="CD38" s="424">
        <v>500</v>
      </c>
      <c r="CE38" s="424"/>
      <c r="CF38" s="423"/>
      <c r="CG38" s="423"/>
      <c r="CH38" s="423"/>
      <c r="CI38" s="424">
        <f>AA38+AF38+AK38</f>
        <v>2000</v>
      </c>
      <c r="CJ38" s="424">
        <f t="shared" ref="CJ38:CJ49" si="48">AB38+AG38+AL38</f>
        <v>0</v>
      </c>
      <c r="CK38" s="423">
        <f t="shared" ref="CK38:CK49" si="49">AC38+AH38+AM38</f>
        <v>0</v>
      </c>
      <c r="CL38" s="423">
        <f t="shared" ref="CL38:CL49" si="50">AD38+AI38+AN38</f>
        <v>0</v>
      </c>
      <c r="CM38" s="423">
        <f t="shared" ref="CM38:CM49" si="51">AE38+AJ38+AO38</f>
        <v>0</v>
      </c>
      <c r="CN38" s="424">
        <f>AA38+AF38+AK38+AP38+AU38+AZ38+BE38+BJ38+BO38+BT38+BY38+CD38</f>
        <v>6000</v>
      </c>
      <c r="CO38" s="423">
        <f>AB38+AG38+AL38+AQ38+AV38+BA38+BF38+BK38+BP38+BU38+BZ38+CE38</f>
        <v>0</v>
      </c>
      <c r="CP38" s="423">
        <f>AC38+AH38+AM38+AR38+AW38+BB38+BG38+BL38+BQ38+BV38+CA38+CF38</f>
        <v>0</v>
      </c>
      <c r="CQ38" s="423">
        <f>AD38+AI38+AN38+AS38+AX38+BC38+BH38+BM38+BR38+BW38+CB38+CG38</f>
        <v>0</v>
      </c>
      <c r="CR38" s="423">
        <f>AE38+AJ38+AO38+AT38+AY38+BD38+BI38+BN38+BS38+BX38+CC38+CH38</f>
        <v>0</v>
      </c>
      <c r="CS38" s="424">
        <f>CN38-CO38-CP38-CQ38-CR38</f>
        <v>6000</v>
      </c>
      <c r="CT38" s="471"/>
    </row>
    <row r="39" spans="1:98" s="6" customFormat="1" x14ac:dyDescent="0.3">
      <c r="A39" s="757"/>
      <c r="B39" s="831"/>
      <c r="C39" s="818"/>
      <c r="D39" s="729"/>
      <c r="E39" s="729"/>
      <c r="F39" s="818"/>
      <c r="G39" s="729"/>
      <c r="H39" s="729"/>
      <c r="I39" s="729"/>
      <c r="J39" s="729"/>
      <c r="K39" s="729"/>
      <c r="L39" s="729"/>
      <c r="M39" s="731"/>
      <c r="N39" s="803"/>
      <c r="O39" s="818"/>
      <c r="P39" s="729"/>
      <c r="Q39" s="525"/>
      <c r="R39" s="525"/>
      <c r="S39" s="525"/>
      <c r="T39" s="525"/>
      <c r="U39" s="525"/>
      <c r="V39" s="525"/>
      <c r="W39" s="525"/>
      <c r="X39" s="525"/>
      <c r="Y39" s="525"/>
      <c r="Z39" s="525"/>
      <c r="AA39" s="423"/>
      <c r="AB39" s="423"/>
      <c r="AC39" s="423"/>
      <c r="AD39" s="423"/>
      <c r="AE39" s="423"/>
      <c r="AF39" s="424"/>
      <c r="AG39" s="424"/>
      <c r="AH39" s="423"/>
      <c r="AI39" s="423"/>
      <c r="AJ39" s="423"/>
      <c r="AK39" s="424"/>
      <c r="AL39" s="423"/>
      <c r="AM39" s="423"/>
      <c r="AN39" s="423"/>
      <c r="AO39" s="423"/>
      <c r="AP39" s="424"/>
      <c r="AQ39" s="423"/>
      <c r="AR39" s="423"/>
      <c r="AS39" s="423"/>
      <c r="AT39" s="423"/>
      <c r="AU39" s="424"/>
      <c r="AV39" s="423"/>
      <c r="AW39" s="423"/>
      <c r="AX39" s="423"/>
      <c r="AY39" s="423"/>
      <c r="AZ39" s="424"/>
      <c r="BA39" s="423"/>
      <c r="BB39" s="423"/>
      <c r="BC39" s="423"/>
      <c r="BD39" s="423"/>
      <c r="BE39" s="424"/>
      <c r="BF39" s="423"/>
      <c r="BG39" s="423"/>
      <c r="BH39" s="423"/>
      <c r="BI39" s="423"/>
      <c r="BJ39" s="424"/>
      <c r="BK39" s="423"/>
      <c r="BL39" s="423"/>
      <c r="BM39" s="423"/>
      <c r="BN39" s="423"/>
      <c r="BO39" s="424"/>
      <c r="BP39" s="424"/>
      <c r="BQ39" s="423"/>
      <c r="BR39" s="423"/>
      <c r="BS39" s="423"/>
      <c r="BT39" s="424"/>
      <c r="BU39" s="424"/>
      <c r="BV39" s="423"/>
      <c r="BW39" s="423"/>
      <c r="BX39" s="423"/>
      <c r="BY39" s="424"/>
      <c r="BZ39" s="424"/>
      <c r="CA39" s="423"/>
      <c r="CB39" s="423"/>
      <c r="CC39" s="423"/>
      <c r="CD39" s="424"/>
      <c r="CE39" s="424"/>
      <c r="CF39" s="423"/>
      <c r="CG39" s="423"/>
      <c r="CH39" s="423"/>
      <c r="CI39" s="424"/>
      <c r="CJ39" s="424"/>
      <c r="CK39" s="423"/>
      <c r="CL39" s="423"/>
      <c r="CM39" s="423"/>
      <c r="CN39" s="424"/>
      <c r="CO39" s="423"/>
      <c r="CP39" s="423"/>
      <c r="CQ39" s="423"/>
      <c r="CR39" s="423"/>
      <c r="CS39" s="424"/>
      <c r="CT39" s="471"/>
    </row>
    <row r="40" spans="1:98" s="6" customFormat="1" ht="72" x14ac:dyDescent="0.3">
      <c r="A40" s="796" t="s">
        <v>35</v>
      </c>
      <c r="B40" s="804" t="s">
        <v>93</v>
      </c>
      <c r="C40" s="188" t="s">
        <v>1259</v>
      </c>
      <c r="D40" s="728" t="s">
        <v>94</v>
      </c>
      <c r="E40" s="728" t="s">
        <v>95</v>
      </c>
      <c r="F40" s="192" t="s">
        <v>53</v>
      </c>
      <c r="G40" s="187" t="s">
        <v>54</v>
      </c>
      <c r="H40" s="533">
        <v>40</v>
      </c>
      <c r="I40" s="187">
        <v>37</v>
      </c>
      <c r="J40" s="637">
        <v>37</v>
      </c>
      <c r="K40" s="289">
        <v>36</v>
      </c>
      <c r="L40" s="637">
        <v>37</v>
      </c>
      <c r="M40" s="643">
        <v>36</v>
      </c>
      <c r="N40" s="622"/>
      <c r="O40" s="98"/>
      <c r="P40" s="622"/>
      <c r="Q40" s="187">
        <v>37</v>
      </c>
      <c r="R40" s="187">
        <v>37</v>
      </c>
      <c r="S40" s="187">
        <v>37</v>
      </c>
      <c r="T40" s="187">
        <v>37</v>
      </c>
      <c r="U40" s="187">
        <v>37</v>
      </c>
      <c r="V40" s="187">
        <v>37</v>
      </c>
      <c r="W40" s="187">
        <v>37</v>
      </c>
      <c r="X40" s="187">
        <v>37</v>
      </c>
      <c r="Y40" s="187">
        <v>37</v>
      </c>
      <c r="Z40" s="187">
        <v>37</v>
      </c>
      <c r="AA40" s="180"/>
      <c r="AB40" s="180"/>
      <c r="AC40" s="180"/>
      <c r="AD40" s="180"/>
      <c r="AE40" s="180"/>
      <c r="AF40" s="180"/>
      <c r="AG40" s="180"/>
      <c r="AH40" s="180"/>
      <c r="AI40" s="180"/>
      <c r="AJ40" s="180"/>
      <c r="AK40" s="180"/>
      <c r="AL40" s="180"/>
      <c r="AM40" s="180"/>
      <c r="AN40" s="180"/>
      <c r="AO40" s="180"/>
      <c r="AP40" s="181"/>
      <c r="AQ40" s="180"/>
      <c r="AR40" s="180"/>
      <c r="AS40" s="180"/>
      <c r="AT40" s="180"/>
      <c r="AU40" s="181"/>
      <c r="AV40" s="180"/>
      <c r="AW40" s="180"/>
      <c r="AX40" s="180"/>
      <c r="AY40" s="180"/>
      <c r="AZ40" s="181"/>
      <c r="BA40" s="180"/>
      <c r="BB40" s="180"/>
      <c r="BC40" s="180"/>
      <c r="BD40" s="180"/>
      <c r="BE40" s="181"/>
      <c r="BF40" s="180"/>
      <c r="BG40" s="180"/>
      <c r="BH40" s="180"/>
      <c r="BI40" s="180"/>
      <c r="BJ40" s="181"/>
      <c r="BK40" s="180"/>
      <c r="BL40" s="180"/>
      <c r="BM40" s="180"/>
      <c r="BN40" s="180"/>
      <c r="BO40" s="181"/>
      <c r="BP40" s="180"/>
      <c r="BQ40" s="180"/>
      <c r="BR40" s="180"/>
      <c r="BS40" s="180"/>
      <c r="BT40" s="181"/>
      <c r="BU40" s="180"/>
      <c r="BV40" s="180"/>
      <c r="BW40" s="180"/>
      <c r="BX40" s="180"/>
      <c r="BY40" s="181"/>
      <c r="BZ40" s="180"/>
      <c r="CA40" s="180"/>
      <c r="CB40" s="180"/>
      <c r="CC40" s="180"/>
      <c r="CD40" s="181"/>
      <c r="CE40" s="180"/>
      <c r="CF40" s="180"/>
      <c r="CG40" s="180"/>
      <c r="CH40" s="180"/>
      <c r="CI40" s="181">
        <f t="shared" ref="CI40:CI49" si="52">AA40+AF40+AK40</f>
        <v>0</v>
      </c>
      <c r="CJ40" s="180">
        <f t="shared" si="48"/>
        <v>0</v>
      </c>
      <c r="CK40" s="180">
        <f t="shared" si="49"/>
        <v>0</v>
      </c>
      <c r="CL40" s="180">
        <f t="shared" si="50"/>
        <v>0</v>
      </c>
      <c r="CM40" s="180">
        <f t="shared" si="51"/>
        <v>0</v>
      </c>
      <c r="CN40" s="181">
        <f t="shared" ref="CN40:CN56" si="53">AA40+AF40+AK40+AP40+AU40+AZ40+BE40+BJ40+BO40+BT40+BY40+CD40</f>
        <v>0</v>
      </c>
      <c r="CO40" s="180">
        <f t="shared" ref="CO40:CO56" si="54">AB40+AG40+AL40+AQ40+AV40+BA40+BF40+BK40+BP40+BU40+BZ40+CE40</f>
        <v>0</v>
      </c>
      <c r="CP40" s="180">
        <f t="shared" ref="CP40:CP56" si="55">AC40+AH40+AM40+AR40+AW40+BB40+BG40+BL40+BQ40+BV40+CA40+CF40</f>
        <v>0</v>
      </c>
      <c r="CQ40" s="180">
        <f t="shared" ref="CQ40:CQ56" si="56">AD40+AI40+AN40+AS40+AX40+BC40+BH40+BM40+BR40+BW40+CB40+CG40</f>
        <v>0</v>
      </c>
      <c r="CR40" s="180">
        <f t="shared" ref="CR40:CR56" si="57">AE40+AJ40+AO40+AT40+AY40+BD40+BI40+BN40+BS40+BX40+CC40+CH40</f>
        <v>0</v>
      </c>
      <c r="CS40" s="273">
        <f>CN40-CO40-CP40-CQ40-CR40</f>
        <v>0</v>
      </c>
      <c r="CT40" s="471"/>
    </row>
    <row r="41" spans="1:98" s="6" customFormat="1" ht="96" x14ac:dyDescent="0.35">
      <c r="A41" s="851"/>
      <c r="B41" s="852"/>
      <c r="C41" s="188" t="s">
        <v>1260</v>
      </c>
      <c r="D41" s="734"/>
      <c r="E41" s="734"/>
      <c r="F41" s="192" t="s">
        <v>53</v>
      </c>
      <c r="G41" s="187" t="s">
        <v>54</v>
      </c>
      <c r="H41" s="533">
        <v>3</v>
      </c>
      <c r="I41" s="187">
        <v>3</v>
      </c>
      <c r="J41" s="637">
        <v>3</v>
      </c>
      <c r="K41" s="289">
        <v>3</v>
      </c>
      <c r="L41" s="637">
        <v>3</v>
      </c>
      <c r="M41" s="643">
        <v>3</v>
      </c>
      <c r="N41" s="441"/>
      <c r="O41" s="442"/>
      <c r="P41" s="441"/>
      <c r="Q41" s="187">
        <v>3</v>
      </c>
      <c r="R41" s="187">
        <v>3</v>
      </c>
      <c r="S41" s="187">
        <v>3</v>
      </c>
      <c r="T41" s="187">
        <v>3</v>
      </c>
      <c r="U41" s="187">
        <v>3</v>
      </c>
      <c r="V41" s="187">
        <v>3</v>
      </c>
      <c r="W41" s="187">
        <v>3</v>
      </c>
      <c r="X41" s="187">
        <v>3</v>
      </c>
      <c r="Y41" s="187">
        <v>3</v>
      </c>
      <c r="Z41" s="187">
        <v>3</v>
      </c>
      <c r="AA41" s="180"/>
      <c r="AB41" s="180"/>
      <c r="AC41" s="180"/>
      <c r="AD41" s="180"/>
      <c r="AE41" s="180"/>
      <c r="AF41" s="180"/>
      <c r="AG41" s="180"/>
      <c r="AH41" s="180"/>
      <c r="AI41" s="180"/>
      <c r="AJ41" s="180"/>
      <c r="AK41" s="180"/>
      <c r="AL41" s="180"/>
      <c r="AM41" s="180"/>
      <c r="AN41" s="180"/>
      <c r="AO41" s="180"/>
      <c r="AP41" s="181"/>
      <c r="AQ41" s="180"/>
      <c r="AR41" s="180"/>
      <c r="AS41" s="180"/>
      <c r="AT41" s="180"/>
      <c r="AU41" s="181"/>
      <c r="AV41" s="180"/>
      <c r="AW41" s="180"/>
      <c r="AX41" s="180"/>
      <c r="AY41" s="180"/>
      <c r="AZ41" s="181"/>
      <c r="BA41" s="180"/>
      <c r="BB41" s="180"/>
      <c r="BC41" s="180"/>
      <c r="BD41" s="180"/>
      <c r="BE41" s="181"/>
      <c r="BF41" s="180"/>
      <c r="BG41" s="180"/>
      <c r="BH41" s="180"/>
      <c r="BI41" s="180"/>
      <c r="BJ41" s="181"/>
      <c r="BK41" s="180"/>
      <c r="BL41" s="180"/>
      <c r="BM41" s="180"/>
      <c r="BN41" s="180"/>
      <c r="BO41" s="181"/>
      <c r="BP41" s="180"/>
      <c r="BQ41" s="180"/>
      <c r="BR41" s="180"/>
      <c r="BS41" s="180"/>
      <c r="BT41" s="181"/>
      <c r="BU41" s="180"/>
      <c r="BV41" s="180"/>
      <c r="BW41" s="180"/>
      <c r="BX41" s="180"/>
      <c r="BY41" s="181"/>
      <c r="BZ41" s="180"/>
      <c r="CA41" s="180"/>
      <c r="CB41" s="180"/>
      <c r="CC41" s="180"/>
      <c r="CD41" s="181"/>
      <c r="CE41" s="180"/>
      <c r="CF41" s="180"/>
      <c r="CG41" s="180"/>
      <c r="CH41" s="180"/>
      <c r="CI41" s="181">
        <f t="shared" si="52"/>
        <v>0</v>
      </c>
      <c r="CJ41" s="180">
        <f t="shared" si="48"/>
        <v>0</v>
      </c>
      <c r="CK41" s="180">
        <f t="shared" si="49"/>
        <v>0</v>
      </c>
      <c r="CL41" s="180">
        <f t="shared" si="50"/>
        <v>0</v>
      </c>
      <c r="CM41" s="180">
        <f t="shared" si="51"/>
        <v>0</v>
      </c>
      <c r="CN41" s="181">
        <f t="shared" si="53"/>
        <v>0</v>
      </c>
      <c r="CO41" s="180">
        <f t="shared" si="54"/>
        <v>0</v>
      </c>
      <c r="CP41" s="180">
        <f t="shared" si="55"/>
        <v>0</v>
      </c>
      <c r="CQ41" s="180">
        <f t="shared" si="56"/>
        <v>0</v>
      </c>
      <c r="CR41" s="180">
        <f t="shared" si="57"/>
        <v>0</v>
      </c>
      <c r="CS41" s="273">
        <f t="shared" ref="CS41:CS58" si="58">CN41-CO41-CP41-CQ41-CR41</f>
        <v>0</v>
      </c>
      <c r="CT41" s="471"/>
    </row>
    <row r="42" spans="1:98" s="6" customFormat="1" ht="72" x14ac:dyDescent="0.3">
      <c r="A42" s="851"/>
      <c r="B42" s="852"/>
      <c r="C42" s="188" t="s">
        <v>1261</v>
      </c>
      <c r="D42" s="734"/>
      <c r="E42" s="734"/>
      <c r="F42" s="192" t="s">
        <v>53</v>
      </c>
      <c r="G42" s="187" t="s">
        <v>54</v>
      </c>
      <c r="H42" s="533">
        <v>17</v>
      </c>
      <c r="I42" s="187">
        <v>27</v>
      </c>
      <c r="J42" s="637">
        <v>30</v>
      </c>
      <c r="K42" s="289">
        <v>36</v>
      </c>
      <c r="L42" s="637">
        <v>37</v>
      </c>
      <c r="M42" s="643">
        <v>36</v>
      </c>
      <c r="N42" s="610" t="s">
        <v>1497</v>
      </c>
      <c r="O42" s="615"/>
      <c r="P42" s="610"/>
      <c r="Q42" s="187">
        <v>37</v>
      </c>
      <c r="R42" s="187">
        <v>37</v>
      </c>
      <c r="S42" s="187">
        <v>37</v>
      </c>
      <c r="T42" s="187">
        <v>37</v>
      </c>
      <c r="U42" s="187">
        <v>37</v>
      </c>
      <c r="V42" s="187">
        <v>37</v>
      </c>
      <c r="W42" s="187">
        <v>37</v>
      </c>
      <c r="X42" s="187">
        <v>37</v>
      </c>
      <c r="Y42" s="187">
        <v>37</v>
      </c>
      <c r="Z42" s="187">
        <v>37</v>
      </c>
      <c r="AA42" s="180"/>
      <c r="AB42" s="180"/>
      <c r="AC42" s="180"/>
      <c r="AD42" s="180"/>
      <c r="AE42" s="180"/>
      <c r="AF42" s="180"/>
      <c r="AG42" s="180"/>
      <c r="AH42" s="180"/>
      <c r="AI42" s="180"/>
      <c r="AJ42" s="180"/>
      <c r="AK42" s="180"/>
      <c r="AL42" s="180"/>
      <c r="AM42" s="180"/>
      <c r="AN42" s="180"/>
      <c r="AO42" s="180"/>
      <c r="AP42" s="181"/>
      <c r="AQ42" s="180"/>
      <c r="AR42" s="180"/>
      <c r="AS42" s="180"/>
      <c r="AT42" s="180"/>
      <c r="AU42" s="181"/>
      <c r="AV42" s="180"/>
      <c r="AW42" s="180"/>
      <c r="AX42" s="180"/>
      <c r="AY42" s="180"/>
      <c r="AZ42" s="181"/>
      <c r="BA42" s="180"/>
      <c r="BB42" s="180"/>
      <c r="BC42" s="180"/>
      <c r="BD42" s="180"/>
      <c r="BE42" s="181"/>
      <c r="BF42" s="180"/>
      <c r="BG42" s="180"/>
      <c r="BH42" s="180"/>
      <c r="BI42" s="180"/>
      <c r="BJ42" s="181"/>
      <c r="BK42" s="180"/>
      <c r="BL42" s="180"/>
      <c r="BM42" s="180"/>
      <c r="BN42" s="180"/>
      <c r="BO42" s="181"/>
      <c r="BP42" s="180"/>
      <c r="BQ42" s="180"/>
      <c r="BR42" s="180"/>
      <c r="BS42" s="180"/>
      <c r="BT42" s="181"/>
      <c r="BU42" s="180"/>
      <c r="BV42" s="180"/>
      <c r="BW42" s="180"/>
      <c r="BX42" s="180"/>
      <c r="BY42" s="181"/>
      <c r="BZ42" s="180"/>
      <c r="CA42" s="180"/>
      <c r="CB42" s="180"/>
      <c r="CC42" s="180"/>
      <c r="CD42" s="181"/>
      <c r="CE42" s="180"/>
      <c r="CF42" s="180"/>
      <c r="CG42" s="180"/>
      <c r="CH42" s="180"/>
      <c r="CI42" s="181">
        <f t="shared" si="52"/>
        <v>0</v>
      </c>
      <c r="CJ42" s="180">
        <f t="shared" si="48"/>
        <v>0</v>
      </c>
      <c r="CK42" s="180">
        <f t="shared" si="49"/>
        <v>0</v>
      </c>
      <c r="CL42" s="180">
        <f t="shared" si="50"/>
        <v>0</v>
      </c>
      <c r="CM42" s="180">
        <f t="shared" si="51"/>
        <v>0</v>
      </c>
      <c r="CN42" s="181">
        <f t="shared" si="53"/>
        <v>0</v>
      </c>
      <c r="CO42" s="180">
        <f t="shared" si="54"/>
        <v>0</v>
      </c>
      <c r="CP42" s="180">
        <f t="shared" si="55"/>
        <v>0</v>
      </c>
      <c r="CQ42" s="180">
        <f t="shared" si="56"/>
        <v>0</v>
      </c>
      <c r="CR42" s="180">
        <f t="shared" si="57"/>
        <v>0</v>
      </c>
      <c r="CS42" s="273">
        <f t="shared" si="58"/>
        <v>0</v>
      </c>
      <c r="CT42" s="471"/>
    </row>
    <row r="43" spans="1:98" s="6" customFormat="1" ht="72" x14ac:dyDescent="0.3">
      <c r="A43" s="851"/>
      <c r="B43" s="852"/>
      <c r="C43" s="188" t="s">
        <v>1262</v>
      </c>
      <c r="D43" s="734"/>
      <c r="E43" s="734"/>
      <c r="F43" s="192" t="s">
        <v>53</v>
      </c>
      <c r="G43" s="187" t="s">
        <v>54</v>
      </c>
      <c r="H43" s="533">
        <v>15</v>
      </c>
      <c r="I43" s="187">
        <v>21</v>
      </c>
      <c r="J43" s="637">
        <v>30</v>
      </c>
      <c r="K43" s="289">
        <v>32</v>
      </c>
      <c r="L43" s="637">
        <v>37</v>
      </c>
      <c r="M43" s="643">
        <v>36</v>
      </c>
      <c r="N43" s="98" t="s">
        <v>1498</v>
      </c>
      <c r="O43" s="98" t="s">
        <v>1704</v>
      </c>
      <c r="P43" s="98"/>
      <c r="Q43" s="187">
        <v>37</v>
      </c>
      <c r="R43" s="187">
        <v>37</v>
      </c>
      <c r="S43" s="187">
        <v>37</v>
      </c>
      <c r="T43" s="187">
        <v>37</v>
      </c>
      <c r="U43" s="187">
        <v>37</v>
      </c>
      <c r="V43" s="187">
        <v>37</v>
      </c>
      <c r="W43" s="187">
        <v>37</v>
      </c>
      <c r="X43" s="187">
        <v>37</v>
      </c>
      <c r="Y43" s="187">
        <v>37</v>
      </c>
      <c r="Z43" s="187">
        <v>37</v>
      </c>
      <c r="AA43" s="180"/>
      <c r="AB43" s="180"/>
      <c r="AC43" s="180"/>
      <c r="AD43" s="180"/>
      <c r="AE43" s="180"/>
      <c r="AF43" s="180"/>
      <c r="AG43" s="180"/>
      <c r="AH43" s="180"/>
      <c r="AI43" s="180"/>
      <c r="AJ43" s="180"/>
      <c r="AK43" s="180"/>
      <c r="AL43" s="180"/>
      <c r="AM43" s="180"/>
      <c r="AN43" s="180"/>
      <c r="AO43" s="180"/>
      <c r="AP43" s="181"/>
      <c r="AQ43" s="180"/>
      <c r="AR43" s="180"/>
      <c r="AS43" s="180"/>
      <c r="AT43" s="180"/>
      <c r="AU43" s="181"/>
      <c r="AV43" s="180"/>
      <c r="AW43" s="180"/>
      <c r="AX43" s="180"/>
      <c r="AY43" s="180"/>
      <c r="AZ43" s="181"/>
      <c r="BA43" s="180"/>
      <c r="BB43" s="180"/>
      <c r="BC43" s="180"/>
      <c r="BD43" s="180"/>
      <c r="BE43" s="181"/>
      <c r="BF43" s="180"/>
      <c r="BG43" s="180"/>
      <c r="BH43" s="180"/>
      <c r="BI43" s="180"/>
      <c r="BJ43" s="181"/>
      <c r="BK43" s="180"/>
      <c r="BL43" s="180"/>
      <c r="BM43" s="180"/>
      <c r="BN43" s="180"/>
      <c r="BO43" s="181"/>
      <c r="BP43" s="180"/>
      <c r="BQ43" s="180"/>
      <c r="BR43" s="180"/>
      <c r="BS43" s="180"/>
      <c r="BT43" s="181"/>
      <c r="BU43" s="180"/>
      <c r="BV43" s="180"/>
      <c r="BW43" s="180"/>
      <c r="BX43" s="180"/>
      <c r="BY43" s="181"/>
      <c r="BZ43" s="180"/>
      <c r="CA43" s="180"/>
      <c r="CB43" s="180"/>
      <c r="CC43" s="180"/>
      <c r="CD43" s="181"/>
      <c r="CE43" s="180"/>
      <c r="CF43" s="180"/>
      <c r="CG43" s="180"/>
      <c r="CH43" s="180"/>
      <c r="CI43" s="181">
        <f t="shared" si="52"/>
        <v>0</v>
      </c>
      <c r="CJ43" s="180">
        <f t="shared" si="48"/>
        <v>0</v>
      </c>
      <c r="CK43" s="180">
        <f t="shared" si="49"/>
        <v>0</v>
      </c>
      <c r="CL43" s="180">
        <f t="shared" si="50"/>
        <v>0</v>
      </c>
      <c r="CM43" s="180">
        <f t="shared" si="51"/>
        <v>0</v>
      </c>
      <c r="CN43" s="181">
        <f t="shared" si="53"/>
        <v>0</v>
      </c>
      <c r="CO43" s="180">
        <f t="shared" si="54"/>
        <v>0</v>
      </c>
      <c r="CP43" s="180">
        <f t="shared" si="55"/>
        <v>0</v>
      </c>
      <c r="CQ43" s="180">
        <f t="shared" si="56"/>
        <v>0</v>
      </c>
      <c r="CR43" s="180">
        <f t="shared" si="57"/>
        <v>0</v>
      </c>
      <c r="CS43" s="273">
        <f t="shared" si="58"/>
        <v>0</v>
      </c>
      <c r="CT43" s="471"/>
    </row>
    <row r="44" spans="1:98" s="6" customFormat="1" ht="72" x14ac:dyDescent="0.35">
      <c r="A44" s="851"/>
      <c r="B44" s="852"/>
      <c r="C44" s="188" t="s">
        <v>1263</v>
      </c>
      <c r="D44" s="734"/>
      <c r="E44" s="734"/>
      <c r="F44" s="192" t="s">
        <v>53</v>
      </c>
      <c r="G44" s="187" t="s">
        <v>54</v>
      </c>
      <c r="H44" s="533">
        <v>39</v>
      </c>
      <c r="I44" s="187">
        <v>36</v>
      </c>
      <c r="J44" s="637">
        <v>36</v>
      </c>
      <c r="K44" s="289">
        <v>37</v>
      </c>
      <c r="L44" s="637">
        <v>36</v>
      </c>
      <c r="M44" s="643">
        <v>36</v>
      </c>
      <c r="N44" s="442"/>
      <c r="O44" s="442"/>
      <c r="P44" s="442"/>
      <c r="Q44" s="187">
        <v>36</v>
      </c>
      <c r="R44" s="187">
        <v>36</v>
      </c>
      <c r="S44" s="187">
        <v>36</v>
      </c>
      <c r="T44" s="187">
        <v>36</v>
      </c>
      <c r="U44" s="187">
        <v>36</v>
      </c>
      <c r="V44" s="187">
        <v>36</v>
      </c>
      <c r="W44" s="187">
        <v>36</v>
      </c>
      <c r="X44" s="187">
        <v>36</v>
      </c>
      <c r="Y44" s="187">
        <v>36</v>
      </c>
      <c r="Z44" s="187">
        <v>36</v>
      </c>
      <c r="AA44" s="180"/>
      <c r="AB44" s="180"/>
      <c r="AC44" s="180"/>
      <c r="AD44" s="180"/>
      <c r="AE44" s="180"/>
      <c r="AF44" s="180"/>
      <c r="AG44" s="180"/>
      <c r="AH44" s="180"/>
      <c r="AI44" s="180"/>
      <c r="AJ44" s="180"/>
      <c r="AK44" s="180"/>
      <c r="AL44" s="180"/>
      <c r="AM44" s="180"/>
      <c r="AN44" s="180"/>
      <c r="AO44" s="180"/>
      <c r="AP44" s="181"/>
      <c r="AQ44" s="180"/>
      <c r="AR44" s="180"/>
      <c r="AS44" s="180"/>
      <c r="AT44" s="180"/>
      <c r="AU44" s="181"/>
      <c r="AV44" s="180"/>
      <c r="AW44" s="180"/>
      <c r="AX44" s="180"/>
      <c r="AY44" s="180"/>
      <c r="AZ44" s="181"/>
      <c r="BA44" s="180"/>
      <c r="BB44" s="180"/>
      <c r="BC44" s="180"/>
      <c r="BD44" s="180"/>
      <c r="BE44" s="181"/>
      <c r="BF44" s="180"/>
      <c r="BG44" s="180"/>
      <c r="BH44" s="180"/>
      <c r="BI44" s="180"/>
      <c r="BJ44" s="181"/>
      <c r="BK44" s="180"/>
      <c r="BL44" s="180"/>
      <c r="BM44" s="180"/>
      <c r="BN44" s="180"/>
      <c r="BO44" s="181"/>
      <c r="BP44" s="180"/>
      <c r="BQ44" s="180"/>
      <c r="BR44" s="180"/>
      <c r="BS44" s="180"/>
      <c r="BT44" s="181"/>
      <c r="BU44" s="180"/>
      <c r="BV44" s="180"/>
      <c r="BW44" s="180"/>
      <c r="BX44" s="180"/>
      <c r="BY44" s="181"/>
      <c r="BZ44" s="180"/>
      <c r="CA44" s="180"/>
      <c r="CB44" s="180"/>
      <c r="CC44" s="180"/>
      <c r="CD44" s="181"/>
      <c r="CE44" s="180"/>
      <c r="CF44" s="180"/>
      <c r="CG44" s="180"/>
      <c r="CH44" s="180"/>
      <c r="CI44" s="181">
        <f t="shared" si="52"/>
        <v>0</v>
      </c>
      <c r="CJ44" s="180">
        <f t="shared" si="48"/>
        <v>0</v>
      </c>
      <c r="CK44" s="180">
        <f t="shared" si="49"/>
        <v>0</v>
      </c>
      <c r="CL44" s="180">
        <f t="shared" si="50"/>
        <v>0</v>
      </c>
      <c r="CM44" s="180">
        <f t="shared" si="51"/>
        <v>0</v>
      </c>
      <c r="CN44" s="181">
        <f t="shared" si="53"/>
        <v>0</v>
      </c>
      <c r="CO44" s="180">
        <f t="shared" si="54"/>
        <v>0</v>
      </c>
      <c r="CP44" s="180">
        <f t="shared" si="55"/>
        <v>0</v>
      </c>
      <c r="CQ44" s="180">
        <f t="shared" si="56"/>
        <v>0</v>
      </c>
      <c r="CR44" s="180">
        <f t="shared" si="57"/>
        <v>0</v>
      </c>
      <c r="CS44" s="273">
        <f t="shared" si="58"/>
        <v>0</v>
      </c>
      <c r="CT44" s="471"/>
    </row>
    <row r="45" spans="1:98" s="6" customFormat="1" ht="72" x14ac:dyDescent="0.3">
      <c r="A45" s="851"/>
      <c r="B45" s="852"/>
      <c r="C45" s="188" t="s">
        <v>1264</v>
      </c>
      <c r="D45" s="734"/>
      <c r="E45" s="734"/>
      <c r="F45" s="192" t="s">
        <v>53</v>
      </c>
      <c r="G45" s="187" t="s">
        <v>54</v>
      </c>
      <c r="H45" s="533">
        <v>39</v>
      </c>
      <c r="I45" s="187">
        <v>36</v>
      </c>
      <c r="J45" s="637">
        <v>36</v>
      </c>
      <c r="K45" s="289">
        <v>31</v>
      </c>
      <c r="L45" s="637">
        <v>36</v>
      </c>
      <c r="M45" s="643">
        <v>36</v>
      </c>
      <c r="N45" s="98" t="s">
        <v>1498</v>
      </c>
      <c r="O45" s="98"/>
      <c r="P45" s="98"/>
      <c r="Q45" s="187">
        <v>36</v>
      </c>
      <c r="R45" s="187">
        <v>36</v>
      </c>
      <c r="S45" s="187">
        <v>36</v>
      </c>
      <c r="T45" s="187">
        <v>36</v>
      </c>
      <c r="U45" s="187">
        <v>36</v>
      </c>
      <c r="V45" s="187">
        <v>36</v>
      </c>
      <c r="W45" s="187">
        <v>36</v>
      </c>
      <c r="X45" s="187">
        <v>36</v>
      </c>
      <c r="Y45" s="187">
        <v>36</v>
      </c>
      <c r="Z45" s="187">
        <v>36</v>
      </c>
      <c r="AA45" s="180"/>
      <c r="AB45" s="180"/>
      <c r="AC45" s="180"/>
      <c r="AD45" s="180"/>
      <c r="AE45" s="180"/>
      <c r="AF45" s="180"/>
      <c r="AG45" s="180"/>
      <c r="AH45" s="180"/>
      <c r="AI45" s="180"/>
      <c r="AJ45" s="180"/>
      <c r="AK45" s="180"/>
      <c r="AL45" s="180"/>
      <c r="AM45" s="180"/>
      <c r="AN45" s="180"/>
      <c r="AO45" s="180"/>
      <c r="AP45" s="181"/>
      <c r="AQ45" s="180"/>
      <c r="AR45" s="180"/>
      <c r="AS45" s="180"/>
      <c r="AT45" s="180"/>
      <c r="AU45" s="181"/>
      <c r="AV45" s="180"/>
      <c r="AW45" s="180"/>
      <c r="AX45" s="180"/>
      <c r="AY45" s="180"/>
      <c r="AZ45" s="181"/>
      <c r="BA45" s="180"/>
      <c r="BB45" s="180"/>
      <c r="BC45" s="180"/>
      <c r="BD45" s="180"/>
      <c r="BE45" s="181"/>
      <c r="BF45" s="180"/>
      <c r="BG45" s="180"/>
      <c r="BH45" s="180"/>
      <c r="BI45" s="180"/>
      <c r="BJ45" s="181"/>
      <c r="BK45" s="180"/>
      <c r="BL45" s="180"/>
      <c r="BM45" s="180"/>
      <c r="BN45" s="180"/>
      <c r="BO45" s="181"/>
      <c r="BP45" s="180"/>
      <c r="BQ45" s="180"/>
      <c r="BR45" s="180"/>
      <c r="BS45" s="180"/>
      <c r="BT45" s="181"/>
      <c r="BU45" s="180"/>
      <c r="BV45" s="180"/>
      <c r="BW45" s="180"/>
      <c r="BX45" s="180"/>
      <c r="BY45" s="181"/>
      <c r="BZ45" s="180"/>
      <c r="CA45" s="180"/>
      <c r="CB45" s="180"/>
      <c r="CC45" s="180"/>
      <c r="CD45" s="181"/>
      <c r="CE45" s="180"/>
      <c r="CF45" s="180"/>
      <c r="CG45" s="180"/>
      <c r="CH45" s="180"/>
      <c r="CI45" s="181">
        <f t="shared" si="52"/>
        <v>0</v>
      </c>
      <c r="CJ45" s="180">
        <f t="shared" si="48"/>
        <v>0</v>
      </c>
      <c r="CK45" s="180">
        <f t="shared" si="49"/>
        <v>0</v>
      </c>
      <c r="CL45" s="180">
        <f t="shared" si="50"/>
        <v>0</v>
      </c>
      <c r="CM45" s="180">
        <f t="shared" si="51"/>
        <v>0</v>
      </c>
      <c r="CN45" s="181">
        <f t="shared" si="53"/>
        <v>0</v>
      </c>
      <c r="CO45" s="180">
        <f t="shared" si="54"/>
        <v>0</v>
      </c>
      <c r="CP45" s="180">
        <f t="shared" si="55"/>
        <v>0</v>
      </c>
      <c r="CQ45" s="180">
        <f t="shared" si="56"/>
        <v>0</v>
      </c>
      <c r="CR45" s="180">
        <f t="shared" si="57"/>
        <v>0</v>
      </c>
      <c r="CS45" s="273">
        <f t="shared" si="58"/>
        <v>0</v>
      </c>
      <c r="CT45" s="471"/>
    </row>
    <row r="46" spans="1:98" s="6" customFormat="1" ht="72" x14ac:dyDescent="0.3">
      <c r="A46" s="851"/>
      <c r="B46" s="852"/>
      <c r="C46" s="188" t="s">
        <v>1265</v>
      </c>
      <c r="D46" s="734"/>
      <c r="E46" s="734"/>
      <c r="F46" s="192" t="s">
        <v>53</v>
      </c>
      <c r="G46" s="187" t="s">
        <v>54</v>
      </c>
      <c r="H46" s="533">
        <v>15</v>
      </c>
      <c r="I46" s="187">
        <v>24</v>
      </c>
      <c r="J46" s="637">
        <v>26</v>
      </c>
      <c r="K46" s="289">
        <v>30</v>
      </c>
      <c r="L46" s="637">
        <v>28</v>
      </c>
      <c r="M46" s="643">
        <v>27</v>
      </c>
      <c r="N46" s="610" t="s">
        <v>1497</v>
      </c>
      <c r="O46" s="615" t="s">
        <v>1704</v>
      </c>
      <c r="P46" s="610"/>
      <c r="Q46" s="187">
        <v>28</v>
      </c>
      <c r="R46" s="187">
        <v>30</v>
      </c>
      <c r="S46" s="187">
        <v>37</v>
      </c>
      <c r="T46" s="187">
        <v>37</v>
      </c>
      <c r="U46" s="187">
        <v>37</v>
      </c>
      <c r="V46" s="187">
        <v>37</v>
      </c>
      <c r="W46" s="187">
        <v>37</v>
      </c>
      <c r="X46" s="187">
        <v>37</v>
      </c>
      <c r="Y46" s="187">
        <v>37</v>
      </c>
      <c r="Z46" s="187">
        <v>37</v>
      </c>
      <c r="AA46" s="180"/>
      <c r="AB46" s="180"/>
      <c r="AC46" s="180"/>
      <c r="AD46" s="180"/>
      <c r="AE46" s="180"/>
      <c r="AF46" s="180"/>
      <c r="AG46" s="180"/>
      <c r="AH46" s="180"/>
      <c r="AI46" s="180"/>
      <c r="AJ46" s="180"/>
      <c r="AK46" s="180"/>
      <c r="AL46" s="180"/>
      <c r="AM46" s="180"/>
      <c r="AN46" s="180"/>
      <c r="AO46" s="180"/>
      <c r="AP46" s="181"/>
      <c r="AQ46" s="180"/>
      <c r="AR46" s="180"/>
      <c r="AS46" s="180"/>
      <c r="AT46" s="180"/>
      <c r="AU46" s="181"/>
      <c r="AV46" s="180"/>
      <c r="AW46" s="180"/>
      <c r="AX46" s="180"/>
      <c r="AY46" s="180"/>
      <c r="AZ46" s="181"/>
      <c r="BA46" s="180"/>
      <c r="BB46" s="180"/>
      <c r="BC46" s="180"/>
      <c r="BD46" s="180"/>
      <c r="BE46" s="181"/>
      <c r="BF46" s="180"/>
      <c r="BG46" s="180"/>
      <c r="BH46" s="180"/>
      <c r="BI46" s="180"/>
      <c r="BJ46" s="181"/>
      <c r="BK46" s="180"/>
      <c r="BL46" s="180"/>
      <c r="BM46" s="180"/>
      <c r="BN46" s="180"/>
      <c r="BO46" s="181"/>
      <c r="BP46" s="180"/>
      <c r="BQ46" s="180"/>
      <c r="BR46" s="180"/>
      <c r="BS46" s="180"/>
      <c r="BT46" s="181"/>
      <c r="BU46" s="180"/>
      <c r="BV46" s="180"/>
      <c r="BW46" s="180"/>
      <c r="BX46" s="180"/>
      <c r="BY46" s="181"/>
      <c r="BZ46" s="180"/>
      <c r="CA46" s="180"/>
      <c r="CB46" s="180"/>
      <c r="CC46" s="180"/>
      <c r="CD46" s="181"/>
      <c r="CE46" s="180"/>
      <c r="CF46" s="180"/>
      <c r="CG46" s="180"/>
      <c r="CH46" s="180"/>
      <c r="CI46" s="181">
        <f t="shared" si="52"/>
        <v>0</v>
      </c>
      <c r="CJ46" s="180">
        <f t="shared" si="48"/>
        <v>0</v>
      </c>
      <c r="CK46" s="180">
        <f t="shared" si="49"/>
        <v>0</v>
      </c>
      <c r="CL46" s="180">
        <f t="shared" si="50"/>
        <v>0</v>
      </c>
      <c r="CM46" s="180">
        <f t="shared" si="51"/>
        <v>0</v>
      </c>
      <c r="CN46" s="181">
        <f t="shared" si="53"/>
        <v>0</v>
      </c>
      <c r="CO46" s="180">
        <f t="shared" si="54"/>
        <v>0</v>
      </c>
      <c r="CP46" s="180">
        <f t="shared" si="55"/>
        <v>0</v>
      </c>
      <c r="CQ46" s="180">
        <f t="shared" si="56"/>
        <v>0</v>
      </c>
      <c r="CR46" s="180">
        <f t="shared" si="57"/>
        <v>0</v>
      </c>
      <c r="CS46" s="273">
        <f t="shared" si="58"/>
        <v>0</v>
      </c>
      <c r="CT46" s="471"/>
    </row>
    <row r="47" spans="1:98" s="6" customFormat="1" ht="72" x14ac:dyDescent="0.35">
      <c r="A47" s="851"/>
      <c r="B47" s="852"/>
      <c r="C47" s="188" t="s">
        <v>1266</v>
      </c>
      <c r="D47" s="734"/>
      <c r="E47" s="734"/>
      <c r="F47" s="192" t="s">
        <v>53</v>
      </c>
      <c r="G47" s="187" t="s">
        <v>54</v>
      </c>
      <c r="H47" s="533">
        <v>3</v>
      </c>
      <c r="I47" s="187">
        <v>3</v>
      </c>
      <c r="J47" s="637">
        <v>3</v>
      </c>
      <c r="K47" s="289">
        <v>3</v>
      </c>
      <c r="L47" s="637">
        <v>3</v>
      </c>
      <c r="M47" s="643">
        <v>3</v>
      </c>
      <c r="N47" s="442"/>
      <c r="O47" s="442"/>
      <c r="P47" s="442"/>
      <c r="Q47" s="187">
        <v>3</v>
      </c>
      <c r="R47" s="187">
        <v>3</v>
      </c>
      <c r="S47" s="187">
        <v>3</v>
      </c>
      <c r="T47" s="187">
        <v>3</v>
      </c>
      <c r="U47" s="187">
        <v>3</v>
      </c>
      <c r="V47" s="187">
        <v>5</v>
      </c>
      <c r="W47" s="187">
        <v>7</v>
      </c>
      <c r="X47" s="187">
        <v>10</v>
      </c>
      <c r="Y47" s="187">
        <v>10</v>
      </c>
      <c r="Z47" s="187">
        <v>10</v>
      </c>
      <c r="AA47" s="180"/>
      <c r="AB47" s="180"/>
      <c r="AC47" s="180"/>
      <c r="AD47" s="180"/>
      <c r="AE47" s="180"/>
      <c r="AF47" s="180"/>
      <c r="AG47" s="180"/>
      <c r="AH47" s="180"/>
      <c r="AI47" s="180"/>
      <c r="AJ47" s="180"/>
      <c r="AK47" s="180"/>
      <c r="AL47" s="180"/>
      <c r="AM47" s="180"/>
      <c r="AN47" s="180"/>
      <c r="AO47" s="180"/>
      <c r="AP47" s="181"/>
      <c r="AQ47" s="180"/>
      <c r="AR47" s="180"/>
      <c r="AS47" s="180"/>
      <c r="AT47" s="180"/>
      <c r="AU47" s="181"/>
      <c r="AV47" s="180"/>
      <c r="AW47" s="180"/>
      <c r="AX47" s="180"/>
      <c r="AY47" s="180"/>
      <c r="AZ47" s="181"/>
      <c r="BA47" s="180"/>
      <c r="BB47" s="180"/>
      <c r="BC47" s="180"/>
      <c r="BD47" s="180"/>
      <c r="BE47" s="181"/>
      <c r="BF47" s="180"/>
      <c r="BG47" s="180"/>
      <c r="BH47" s="180"/>
      <c r="BI47" s="180"/>
      <c r="BJ47" s="181"/>
      <c r="BK47" s="180"/>
      <c r="BL47" s="180"/>
      <c r="BM47" s="180"/>
      <c r="BN47" s="180"/>
      <c r="BO47" s="181"/>
      <c r="BP47" s="180"/>
      <c r="BQ47" s="180"/>
      <c r="BR47" s="180"/>
      <c r="BS47" s="180"/>
      <c r="BT47" s="181"/>
      <c r="BU47" s="180"/>
      <c r="BV47" s="180"/>
      <c r="BW47" s="180"/>
      <c r="BX47" s="180"/>
      <c r="BY47" s="181"/>
      <c r="BZ47" s="180"/>
      <c r="CA47" s="180"/>
      <c r="CB47" s="180"/>
      <c r="CC47" s="180"/>
      <c r="CD47" s="181"/>
      <c r="CE47" s="180"/>
      <c r="CF47" s="180"/>
      <c r="CG47" s="180"/>
      <c r="CH47" s="180"/>
      <c r="CI47" s="181">
        <f t="shared" si="52"/>
        <v>0</v>
      </c>
      <c r="CJ47" s="180">
        <f t="shared" si="48"/>
        <v>0</v>
      </c>
      <c r="CK47" s="180">
        <f t="shared" si="49"/>
        <v>0</v>
      </c>
      <c r="CL47" s="180">
        <f t="shared" si="50"/>
        <v>0</v>
      </c>
      <c r="CM47" s="180">
        <f t="shared" si="51"/>
        <v>0</v>
      </c>
      <c r="CN47" s="181">
        <f t="shared" si="53"/>
        <v>0</v>
      </c>
      <c r="CO47" s="180">
        <f t="shared" si="54"/>
        <v>0</v>
      </c>
      <c r="CP47" s="180">
        <f t="shared" si="55"/>
        <v>0</v>
      </c>
      <c r="CQ47" s="180">
        <f t="shared" si="56"/>
        <v>0</v>
      </c>
      <c r="CR47" s="180">
        <f t="shared" si="57"/>
        <v>0</v>
      </c>
      <c r="CS47" s="273">
        <f t="shared" si="58"/>
        <v>0</v>
      </c>
      <c r="CT47" s="471"/>
    </row>
    <row r="48" spans="1:98" s="6" customFormat="1" ht="72" x14ac:dyDescent="0.3">
      <c r="A48" s="851"/>
      <c r="B48" s="852"/>
      <c r="C48" s="188" t="s">
        <v>1267</v>
      </c>
      <c r="D48" s="734"/>
      <c r="E48" s="734"/>
      <c r="F48" s="192" t="s">
        <v>53</v>
      </c>
      <c r="G48" s="187" t="s">
        <v>54</v>
      </c>
      <c r="H48" s="533">
        <v>0</v>
      </c>
      <c r="I48" s="187">
        <v>36</v>
      </c>
      <c r="J48" s="637">
        <v>36</v>
      </c>
      <c r="K48" s="289">
        <v>37</v>
      </c>
      <c r="L48" s="637">
        <v>36</v>
      </c>
      <c r="M48" s="643">
        <v>36</v>
      </c>
      <c r="N48" s="610" t="s">
        <v>1497</v>
      </c>
      <c r="O48" s="615"/>
      <c r="P48" s="610"/>
      <c r="Q48" s="187">
        <v>36</v>
      </c>
      <c r="R48" s="187">
        <v>36</v>
      </c>
      <c r="S48" s="187">
        <v>36</v>
      </c>
      <c r="T48" s="187">
        <v>36</v>
      </c>
      <c r="U48" s="187">
        <v>36</v>
      </c>
      <c r="V48" s="187">
        <v>36</v>
      </c>
      <c r="W48" s="187">
        <v>36</v>
      </c>
      <c r="X48" s="187">
        <v>36</v>
      </c>
      <c r="Y48" s="187">
        <v>36</v>
      </c>
      <c r="Z48" s="187">
        <v>36</v>
      </c>
      <c r="AA48" s="180"/>
      <c r="AB48" s="180"/>
      <c r="AC48" s="180"/>
      <c r="AD48" s="180"/>
      <c r="AE48" s="180"/>
      <c r="AF48" s="180"/>
      <c r="AG48" s="180"/>
      <c r="AH48" s="180"/>
      <c r="AI48" s="180"/>
      <c r="AJ48" s="180"/>
      <c r="AK48" s="180"/>
      <c r="AL48" s="180"/>
      <c r="AM48" s="180"/>
      <c r="AN48" s="180"/>
      <c r="AO48" s="180"/>
      <c r="AP48" s="181"/>
      <c r="AQ48" s="180"/>
      <c r="AR48" s="180"/>
      <c r="AS48" s="180"/>
      <c r="AT48" s="180"/>
      <c r="AU48" s="181"/>
      <c r="AV48" s="180"/>
      <c r="AW48" s="180"/>
      <c r="AX48" s="180"/>
      <c r="AY48" s="180"/>
      <c r="AZ48" s="181"/>
      <c r="BA48" s="180"/>
      <c r="BB48" s="180"/>
      <c r="BC48" s="180"/>
      <c r="BD48" s="180"/>
      <c r="BE48" s="181"/>
      <c r="BF48" s="180"/>
      <c r="BG48" s="180"/>
      <c r="BH48" s="180"/>
      <c r="BI48" s="180"/>
      <c r="BJ48" s="181"/>
      <c r="BK48" s="180"/>
      <c r="BL48" s="180"/>
      <c r="BM48" s="180"/>
      <c r="BN48" s="180"/>
      <c r="BO48" s="181"/>
      <c r="BP48" s="180"/>
      <c r="BQ48" s="180"/>
      <c r="BR48" s="180"/>
      <c r="BS48" s="180"/>
      <c r="BT48" s="181"/>
      <c r="BU48" s="180"/>
      <c r="BV48" s="180"/>
      <c r="BW48" s="180"/>
      <c r="BX48" s="180"/>
      <c r="BY48" s="181"/>
      <c r="BZ48" s="180"/>
      <c r="CA48" s="180"/>
      <c r="CB48" s="180"/>
      <c r="CC48" s="180"/>
      <c r="CD48" s="181"/>
      <c r="CE48" s="180"/>
      <c r="CF48" s="180"/>
      <c r="CG48" s="180"/>
      <c r="CH48" s="180"/>
      <c r="CI48" s="181">
        <f t="shared" si="52"/>
        <v>0</v>
      </c>
      <c r="CJ48" s="180">
        <f t="shared" si="48"/>
        <v>0</v>
      </c>
      <c r="CK48" s="180">
        <f t="shared" si="49"/>
        <v>0</v>
      </c>
      <c r="CL48" s="180">
        <f t="shared" si="50"/>
        <v>0</v>
      </c>
      <c r="CM48" s="180">
        <f t="shared" si="51"/>
        <v>0</v>
      </c>
      <c r="CN48" s="181">
        <f t="shared" si="53"/>
        <v>0</v>
      </c>
      <c r="CO48" s="180">
        <f t="shared" si="54"/>
        <v>0</v>
      </c>
      <c r="CP48" s="180">
        <f t="shared" si="55"/>
        <v>0</v>
      </c>
      <c r="CQ48" s="180">
        <f t="shared" si="56"/>
        <v>0</v>
      </c>
      <c r="CR48" s="180">
        <f t="shared" si="57"/>
        <v>0</v>
      </c>
      <c r="CS48" s="273">
        <f t="shared" si="58"/>
        <v>0</v>
      </c>
      <c r="CT48" s="471"/>
    </row>
    <row r="49" spans="1:195" s="6" customFormat="1" ht="96" x14ac:dyDescent="0.3">
      <c r="A49" s="851"/>
      <c r="B49" s="852"/>
      <c r="C49" s="188" t="s">
        <v>1268</v>
      </c>
      <c r="D49" s="734"/>
      <c r="E49" s="734"/>
      <c r="F49" s="192" t="s">
        <v>53</v>
      </c>
      <c r="G49" s="187" t="s">
        <v>54</v>
      </c>
      <c r="H49" s="533">
        <v>40</v>
      </c>
      <c r="I49" s="187">
        <v>37</v>
      </c>
      <c r="J49" s="637">
        <v>37</v>
      </c>
      <c r="K49" s="289">
        <v>0</v>
      </c>
      <c r="L49" s="637">
        <v>37</v>
      </c>
      <c r="M49" s="643">
        <v>36</v>
      </c>
      <c r="N49" s="610" t="s">
        <v>1499</v>
      </c>
      <c r="O49" s="615" t="s">
        <v>1704</v>
      </c>
      <c r="P49" s="610"/>
      <c r="Q49" s="187">
        <v>37</v>
      </c>
      <c r="R49" s="187">
        <v>37</v>
      </c>
      <c r="S49" s="187">
        <v>37</v>
      </c>
      <c r="T49" s="187">
        <v>37</v>
      </c>
      <c r="U49" s="187">
        <v>37</v>
      </c>
      <c r="V49" s="187">
        <v>37</v>
      </c>
      <c r="W49" s="187">
        <v>37</v>
      </c>
      <c r="X49" s="187">
        <v>37</v>
      </c>
      <c r="Y49" s="187">
        <v>37</v>
      </c>
      <c r="Z49" s="187">
        <v>37</v>
      </c>
      <c r="AA49" s="180"/>
      <c r="AB49" s="180"/>
      <c r="AC49" s="180"/>
      <c r="AD49" s="180"/>
      <c r="AE49" s="180"/>
      <c r="AF49" s="180"/>
      <c r="AG49" s="180"/>
      <c r="AH49" s="180"/>
      <c r="AI49" s="180"/>
      <c r="AJ49" s="180"/>
      <c r="AK49" s="180"/>
      <c r="AL49" s="180"/>
      <c r="AM49" s="180"/>
      <c r="AN49" s="180"/>
      <c r="AO49" s="180"/>
      <c r="AP49" s="181"/>
      <c r="AQ49" s="180"/>
      <c r="AR49" s="180"/>
      <c r="AS49" s="180"/>
      <c r="AT49" s="180"/>
      <c r="AU49" s="181"/>
      <c r="AV49" s="180"/>
      <c r="AW49" s="180"/>
      <c r="AX49" s="180"/>
      <c r="AY49" s="180"/>
      <c r="AZ49" s="181"/>
      <c r="BA49" s="180"/>
      <c r="BB49" s="180"/>
      <c r="BC49" s="180"/>
      <c r="BD49" s="180"/>
      <c r="BE49" s="181"/>
      <c r="BF49" s="180"/>
      <c r="BG49" s="180"/>
      <c r="BH49" s="180"/>
      <c r="BI49" s="180"/>
      <c r="BJ49" s="181"/>
      <c r="BK49" s="180"/>
      <c r="BL49" s="180"/>
      <c r="BM49" s="180"/>
      <c r="BN49" s="180"/>
      <c r="BO49" s="181"/>
      <c r="BP49" s="180"/>
      <c r="BQ49" s="180"/>
      <c r="BR49" s="180"/>
      <c r="BS49" s="180"/>
      <c r="BT49" s="181"/>
      <c r="BU49" s="180"/>
      <c r="BV49" s="180"/>
      <c r="BW49" s="180"/>
      <c r="BX49" s="180"/>
      <c r="BY49" s="181"/>
      <c r="BZ49" s="180"/>
      <c r="CA49" s="180"/>
      <c r="CB49" s="180"/>
      <c r="CC49" s="180"/>
      <c r="CD49" s="181"/>
      <c r="CE49" s="180"/>
      <c r="CF49" s="180"/>
      <c r="CG49" s="180"/>
      <c r="CH49" s="180"/>
      <c r="CI49" s="181">
        <f t="shared" si="52"/>
        <v>0</v>
      </c>
      <c r="CJ49" s="180">
        <f t="shared" si="48"/>
        <v>0</v>
      </c>
      <c r="CK49" s="180">
        <f t="shared" si="49"/>
        <v>0</v>
      </c>
      <c r="CL49" s="180">
        <f t="shared" si="50"/>
        <v>0</v>
      </c>
      <c r="CM49" s="180">
        <f t="shared" si="51"/>
        <v>0</v>
      </c>
      <c r="CN49" s="181">
        <f t="shared" si="53"/>
        <v>0</v>
      </c>
      <c r="CO49" s="180">
        <f t="shared" si="54"/>
        <v>0</v>
      </c>
      <c r="CP49" s="180">
        <f t="shared" si="55"/>
        <v>0</v>
      </c>
      <c r="CQ49" s="180">
        <f t="shared" si="56"/>
        <v>0</v>
      </c>
      <c r="CR49" s="180">
        <f t="shared" si="57"/>
        <v>0</v>
      </c>
      <c r="CS49" s="273">
        <f t="shared" si="58"/>
        <v>0</v>
      </c>
      <c r="CT49" s="471"/>
    </row>
    <row r="50" spans="1:195" s="6" customFormat="1" ht="72" x14ac:dyDescent="0.3">
      <c r="A50" s="797"/>
      <c r="B50" s="805"/>
      <c r="C50" s="188" t="s">
        <v>1269</v>
      </c>
      <c r="D50" s="729"/>
      <c r="E50" s="729"/>
      <c r="F50" s="192" t="s">
        <v>53</v>
      </c>
      <c r="G50" s="187" t="s">
        <v>54</v>
      </c>
      <c r="H50" s="533">
        <v>0</v>
      </c>
      <c r="I50" s="187">
        <v>22</v>
      </c>
      <c r="J50" s="637">
        <v>22</v>
      </c>
      <c r="K50" s="289">
        <v>0</v>
      </c>
      <c r="L50" s="637">
        <v>22</v>
      </c>
      <c r="M50" s="643">
        <v>0</v>
      </c>
      <c r="N50" s="98" t="s">
        <v>1500</v>
      </c>
      <c r="O50" s="98" t="s">
        <v>1500</v>
      </c>
      <c r="P50" s="98"/>
      <c r="Q50" s="187">
        <v>22</v>
      </c>
      <c r="R50" s="187">
        <v>22</v>
      </c>
      <c r="S50" s="187">
        <v>23</v>
      </c>
      <c r="T50" s="187">
        <v>23</v>
      </c>
      <c r="U50" s="187">
        <v>24</v>
      </c>
      <c r="V50" s="187">
        <v>24</v>
      </c>
      <c r="W50" s="187">
        <v>25</v>
      </c>
      <c r="X50" s="187">
        <v>25</v>
      </c>
      <c r="Y50" s="187">
        <v>26</v>
      </c>
      <c r="Z50" s="187">
        <v>26</v>
      </c>
      <c r="AA50" s="180"/>
      <c r="AB50" s="180"/>
      <c r="AC50" s="180"/>
      <c r="AD50" s="180"/>
      <c r="AE50" s="180"/>
      <c r="AF50" s="180"/>
      <c r="AG50" s="180"/>
      <c r="AH50" s="180"/>
      <c r="AI50" s="180"/>
      <c r="AJ50" s="180"/>
      <c r="AK50" s="180"/>
      <c r="AL50" s="180"/>
      <c r="AM50" s="180"/>
      <c r="AN50" s="180"/>
      <c r="AO50" s="180"/>
      <c r="AP50" s="181"/>
      <c r="AQ50" s="180"/>
      <c r="AR50" s="180"/>
      <c r="AS50" s="180"/>
      <c r="AT50" s="180"/>
      <c r="AU50" s="181"/>
      <c r="AV50" s="180"/>
      <c r="AW50" s="180"/>
      <c r="AX50" s="180"/>
      <c r="AY50" s="180"/>
      <c r="AZ50" s="181"/>
      <c r="BA50" s="180"/>
      <c r="BB50" s="180"/>
      <c r="BC50" s="180"/>
      <c r="BD50" s="180"/>
      <c r="BE50" s="181"/>
      <c r="BF50" s="180"/>
      <c r="BG50" s="180"/>
      <c r="BH50" s="180"/>
      <c r="BI50" s="180"/>
      <c r="BJ50" s="181"/>
      <c r="BK50" s="180"/>
      <c r="BL50" s="180"/>
      <c r="BM50" s="180"/>
      <c r="BN50" s="180"/>
      <c r="BO50" s="181"/>
      <c r="BP50" s="180"/>
      <c r="BQ50" s="180"/>
      <c r="BR50" s="180"/>
      <c r="BS50" s="180"/>
      <c r="BT50" s="181"/>
      <c r="BU50" s="180"/>
      <c r="BV50" s="180"/>
      <c r="BW50" s="180"/>
      <c r="BX50" s="180"/>
      <c r="BY50" s="181"/>
      <c r="BZ50" s="180"/>
      <c r="CA50" s="180"/>
      <c r="CB50" s="180"/>
      <c r="CC50" s="180"/>
      <c r="CD50" s="181"/>
      <c r="CE50" s="180"/>
      <c r="CF50" s="180"/>
      <c r="CG50" s="180"/>
      <c r="CH50" s="180"/>
      <c r="CI50" s="181">
        <f t="shared" ref="CI50:CI55" si="59">AA50+AF50+AK50</f>
        <v>0</v>
      </c>
      <c r="CJ50" s="180">
        <f t="shared" ref="CJ50:CJ55" si="60">AB50+AG50+AL50</f>
        <v>0</v>
      </c>
      <c r="CK50" s="180">
        <f t="shared" ref="CK50:CK55" si="61">AC50+AH50+AM50</f>
        <v>0</v>
      </c>
      <c r="CL50" s="180">
        <f t="shared" ref="CL50:CL55" si="62">AD50+AI50+AN50</f>
        <v>0</v>
      </c>
      <c r="CM50" s="180">
        <f t="shared" ref="CM50:CM55" si="63">AE50+AJ50+AO50</f>
        <v>0</v>
      </c>
      <c r="CN50" s="181">
        <f t="shared" si="53"/>
        <v>0</v>
      </c>
      <c r="CO50" s="180">
        <f t="shared" si="54"/>
        <v>0</v>
      </c>
      <c r="CP50" s="180">
        <f t="shared" si="55"/>
        <v>0</v>
      </c>
      <c r="CQ50" s="180">
        <f t="shared" si="56"/>
        <v>0</v>
      </c>
      <c r="CR50" s="180">
        <f t="shared" si="57"/>
        <v>0</v>
      </c>
      <c r="CS50" s="273">
        <f t="shared" si="58"/>
        <v>0</v>
      </c>
      <c r="CT50" s="471"/>
    </row>
    <row r="51" spans="1:195" s="6" customFormat="1" ht="192" x14ac:dyDescent="0.3">
      <c r="A51" s="458" t="s">
        <v>37</v>
      </c>
      <c r="B51" s="455" t="s">
        <v>97</v>
      </c>
      <c r="C51" s="455" t="s">
        <v>1739</v>
      </c>
      <c r="D51" s="452" t="s">
        <v>98</v>
      </c>
      <c r="E51" s="467" t="s">
        <v>99</v>
      </c>
      <c r="F51" s="461" t="s">
        <v>982</v>
      </c>
      <c r="G51" s="452" t="s">
        <v>54</v>
      </c>
      <c r="H51" s="533">
        <v>34</v>
      </c>
      <c r="I51" s="452">
        <v>18</v>
      </c>
      <c r="J51" s="637">
        <v>18</v>
      </c>
      <c r="K51" s="452">
        <v>8</v>
      </c>
      <c r="L51" s="637">
        <v>18</v>
      </c>
      <c r="M51" s="643">
        <v>18</v>
      </c>
      <c r="N51" s="610" t="s">
        <v>1501</v>
      </c>
      <c r="O51" s="615"/>
      <c r="P51" s="610"/>
      <c r="Q51" s="452">
        <v>18</v>
      </c>
      <c r="R51" s="452">
        <v>18</v>
      </c>
      <c r="S51" s="452">
        <v>18</v>
      </c>
      <c r="T51" s="452">
        <v>20</v>
      </c>
      <c r="U51" s="452">
        <v>20</v>
      </c>
      <c r="V51" s="452">
        <v>22</v>
      </c>
      <c r="W51" s="452">
        <v>22</v>
      </c>
      <c r="X51" s="452">
        <v>23</v>
      </c>
      <c r="Y51" s="452">
        <v>23</v>
      </c>
      <c r="Z51" s="452">
        <v>23</v>
      </c>
      <c r="AA51" s="456">
        <v>60000</v>
      </c>
      <c r="AB51" s="457"/>
      <c r="AC51" s="457"/>
      <c r="AD51" s="457"/>
      <c r="AE51" s="457">
        <v>60000</v>
      </c>
      <c r="AF51" s="456">
        <v>60000</v>
      </c>
      <c r="AG51" s="457"/>
      <c r="AH51" s="457"/>
      <c r="AI51" s="457"/>
      <c r="AJ51" s="457">
        <v>60000</v>
      </c>
      <c r="AK51" s="456">
        <v>60000</v>
      </c>
      <c r="AL51" s="457"/>
      <c r="AM51" s="457"/>
      <c r="AN51" s="457"/>
      <c r="AO51" s="457">
        <v>60000</v>
      </c>
      <c r="AP51" s="456"/>
      <c r="AQ51" s="457"/>
      <c r="AR51" s="457"/>
      <c r="AS51" s="457"/>
      <c r="AT51" s="457"/>
      <c r="AU51" s="456"/>
      <c r="AV51" s="457"/>
      <c r="AW51" s="457"/>
      <c r="AX51" s="457"/>
      <c r="AY51" s="457"/>
      <c r="AZ51" s="456"/>
      <c r="BA51" s="457"/>
      <c r="BB51" s="457"/>
      <c r="BC51" s="457"/>
      <c r="BD51" s="457"/>
      <c r="BE51" s="456"/>
      <c r="BF51" s="457"/>
      <c r="BG51" s="457"/>
      <c r="BH51" s="457"/>
      <c r="BI51" s="457"/>
      <c r="BJ51" s="456"/>
      <c r="BK51" s="457"/>
      <c r="BL51" s="457"/>
      <c r="BM51" s="457"/>
      <c r="BN51" s="457"/>
      <c r="BO51" s="456"/>
      <c r="BP51" s="457"/>
      <c r="BQ51" s="457"/>
      <c r="BR51" s="457"/>
      <c r="BS51" s="457"/>
      <c r="BT51" s="456"/>
      <c r="BU51" s="457"/>
      <c r="BV51" s="457"/>
      <c r="BW51" s="457"/>
      <c r="BX51" s="457"/>
      <c r="BY51" s="456"/>
      <c r="BZ51" s="457"/>
      <c r="CA51" s="457"/>
      <c r="CB51" s="457"/>
      <c r="CC51" s="457"/>
      <c r="CD51" s="456"/>
      <c r="CE51" s="457"/>
      <c r="CF51" s="457"/>
      <c r="CG51" s="457"/>
      <c r="CH51" s="457"/>
      <c r="CI51" s="456">
        <f t="shared" si="59"/>
        <v>180000</v>
      </c>
      <c r="CJ51" s="457">
        <f t="shared" si="60"/>
        <v>0</v>
      </c>
      <c r="CK51" s="457">
        <f t="shared" si="61"/>
        <v>0</v>
      </c>
      <c r="CL51" s="457">
        <f t="shared" si="62"/>
        <v>0</v>
      </c>
      <c r="CM51" s="457">
        <f t="shared" si="63"/>
        <v>180000</v>
      </c>
      <c r="CN51" s="456">
        <f t="shared" si="53"/>
        <v>180000</v>
      </c>
      <c r="CO51" s="457">
        <f t="shared" si="54"/>
        <v>0</v>
      </c>
      <c r="CP51" s="457">
        <f t="shared" si="55"/>
        <v>0</v>
      </c>
      <c r="CQ51" s="457">
        <f t="shared" si="56"/>
        <v>0</v>
      </c>
      <c r="CR51" s="457">
        <f t="shared" si="57"/>
        <v>180000</v>
      </c>
      <c r="CS51" s="456">
        <f t="shared" si="58"/>
        <v>0</v>
      </c>
      <c r="CT51" s="471"/>
    </row>
    <row r="52" spans="1:195" s="6" customFormat="1" ht="192" x14ac:dyDescent="0.35">
      <c r="A52" s="171" t="s">
        <v>40</v>
      </c>
      <c r="B52" s="188" t="s">
        <v>983</v>
      </c>
      <c r="C52" s="188" t="s">
        <v>1270</v>
      </c>
      <c r="D52" s="187" t="s">
        <v>98</v>
      </c>
      <c r="E52" s="43" t="s">
        <v>95</v>
      </c>
      <c r="F52" s="192" t="s">
        <v>1015</v>
      </c>
      <c r="G52" s="187" t="s">
        <v>54</v>
      </c>
      <c r="H52" s="533">
        <v>39</v>
      </c>
      <c r="I52" s="187">
        <v>36</v>
      </c>
      <c r="J52" s="637">
        <v>36</v>
      </c>
      <c r="K52" s="289">
        <v>58</v>
      </c>
      <c r="L52" s="637">
        <v>36</v>
      </c>
      <c r="M52" s="643">
        <v>36</v>
      </c>
      <c r="N52" s="441"/>
      <c r="O52" s="442"/>
      <c r="P52" s="441"/>
      <c r="Q52" s="187">
        <v>36</v>
      </c>
      <c r="R52" s="187">
        <v>36</v>
      </c>
      <c r="S52" s="187">
        <v>36</v>
      </c>
      <c r="T52" s="187">
        <v>36</v>
      </c>
      <c r="U52" s="187">
        <v>36</v>
      </c>
      <c r="V52" s="187">
        <v>36</v>
      </c>
      <c r="W52" s="187">
        <v>36</v>
      </c>
      <c r="X52" s="187">
        <v>36</v>
      </c>
      <c r="Y52" s="187">
        <v>36</v>
      </c>
      <c r="Z52" s="187">
        <v>36</v>
      </c>
      <c r="AA52" s="181">
        <v>1100</v>
      </c>
      <c r="AB52" s="180"/>
      <c r="AC52" s="180"/>
      <c r="AD52" s="180"/>
      <c r="AE52" s="180">
        <v>1100</v>
      </c>
      <c r="AF52" s="181">
        <v>1100</v>
      </c>
      <c r="AG52" s="180"/>
      <c r="AH52" s="180"/>
      <c r="AI52" s="180"/>
      <c r="AJ52" s="180">
        <v>1100</v>
      </c>
      <c r="AK52" s="181">
        <v>1100</v>
      </c>
      <c r="AL52" s="180"/>
      <c r="AM52" s="180"/>
      <c r="AN52" s="180"/>
      <c r="AO52" s="180">
        <v>1100</v>
      </c>
      <c r="AP52" s="181"/>
      <c r="AQ52" s="180"/>
      <c r="AR52" s="180"/>
      <c r="AS52" s="180"/>
      <c r="AT52" s="180"/>
      <c r="AU52" s="181"/>
      <c r="AV52" s="180"/>
      <c r="AW52" s="180"/>
      <c r="AX52" s="180"/>
      <c r="AY52" s="180"/>
      <c r="AZ52" s="181"/>
      <c r="BA52" s="180"/>
      <c r="BB52" s="180"/>
      <c r="BC52" s="180"/>
      <c r="BD52" s="180"/>
      <c r="BE52" s="181"/>
      <c r="BF52" s="180"/>
      <c r="BG52" s="180"/>
      <c r="BH52" s="180"/>
      <c r="BI52" s="180"/>
      <c r="BJ52" s="181"/>
      <c r="BK52" s="180"/>
      <c r="BL52" s="180"/>
      <c r="BM52" s="180"/>
      <c r="BN52" s="180"/>
      <c r="BO52" s="181"/>
      <c r="BP52" s="180"/>
      <c r="BQ52" s="180"/>
      <c r="BR52" s="180"/>
      <c r="BS52" s="180"/>
      <c r="BT52" s="181"/>
      <c r="BU52" s="180"/>
      <c r="BV52" s="180"/>
      <c r="BW52" s="180"/>
      <c r="BX52" s="180"/>
      <c r="BY52" s="181"/>
      <c r="BZ52" s="180"/>
      <c r="CA52" s="180"/>
      <c r="CB52" s="180"/>
      <c r="CC52" s="180"/>
      <c r="CD52" s="181"/>
      <c r="CE52" s="180"/>
      <c r="CF52" s="180"/>
      <c r="CG52" s="180"/>
      <c r="CH52" s="180"/>
      <c r="CI52" s="181">
        <f t="shared" si="59"/>
        <v>3300</v>
      </c>
      <c r="CJ52" s="180">
        <f t="shared" si="60"/>
        <v>0</v>
      </c>
      <c r="CK52" s="180">
        <f t="shared" si="61"/>
        <v>0</v>
      </c>
      <c r="CL52" s="180">
        <f t="shared" si="62"/>
        <v>0</v>
      </c>
      <c r="CM52" s="180">
        <f t="shared" si="63"/>
        <v>3300</v>
      </c>
      <c r="CN52" s="181">
        <f t="shared" si="53"/>
        <v>3300</v>
      </c>
      <c r="CO52" s="180">
        <f t="shared" si="54"/>
        <v>0</v>
      </c>
      <c r="CP52" s="180">
        <f t="shared" si="55"/>
        <v>0</v>
      </c>
      <c r="CQ52" s="180">
        <f t="shared" si="56"/>
        <v>0</v>
      </c>
      <c r="CR52" s="180">
        <f t="shared" si="57"/>
        <v>3300</v>
      </c>
      <c r="CS52" s="273">
        <f t="shared" si="58"/>
        <v>0</v>
      </c>
      <c r="CT52" s="471"/>
    </row>
    <row r="53" spans="1:195" s="6" customFormat="1" ht="192" x14ac:dyDescent="0.3">
      <c r="A53" s="458" t="s">
        <v>42</v>
      </c>
      <c r="B53" s="462" t="s">
        <v>101</v>
      </c>
      <c r="C53" s="455" t="s">
        <v>1016</v>
      </c>
      <c r="D53" s="452" t="s">
        <v>98</v>
      </c>
      <c r="E53" s="467" t="s">
        <v>95</v>
      </c>
      <c r="F53" s="461" t="s">
        <v>984</v>
      </c>
      <c r="G53" s="452" t="s">
        <v>54</v>
      </c>
      <c r="H53" s="533">
        <v>39</v>
      </c>
      <c r="I53" s="452">
        <v>36</v>
      </c>
      <c r="J53" s="637">
        <v>36</v>
      </c>
      <c r="K53" s="452">
        <v>0</v>
      </c>
      <c r="L53" s="637">
        <v>36</v>
      </c>
      <c r="M53" s="643">
        <v>36</v>
      </c>
      <c r="N53" s="610" t="s">
        <v>1502</v>
      </c>
      <c r="O53" s="615"/>
      <c r="P53" s="610"/>
      <c r="Q53" s="452">
        <v>36</v>
      </c>
      <c r="R53" s="452">
        <v>36</v>
      </c>
      <c r="S53" s="452">
        <v>36</v>
      </c>
      <c r="T53" s="452">
        <v>36</v>
      </c>
      <c r="U53" s="452">
        <v>36</v>
      </c>
      <c r="V53" s="452">
        <v>36</v>
      </c>
      <c r="W53" s="452">
        <v>36</v>
      </c>
      <c r="X53" s="452">
        <v>36</v>
      </c>
      <c r="Y53" s="452">
        <v>36</v>
      </c>
      <c r="Z53" s="452">
        <v>36</v>
      </c>
      <c r="AA53" s="456">
        <v>6000</v>
      </c>
      <c r="AB53" s="457"/>
      <c r="AC53" s="457"/>
      <c r="AD53" s="457"/>
      <c r="AE53" s="457">
        <v>6000</v>
      </c>
      <c r="AF53" s="456">
        <v>6000</v>
      </c>
      <c r="AG53" s="457"/>
      <c r="AH53" s="457"/>
      <c r="AI53" s="457"/>
      <c r="AJ53" s="457">
        <v>6000</v>
      </c>
      <c r="AK53" s="456">
        <v>6000</v>
      </c>
      <c r="AL53" s="457"/>
      <c r="AM53" s="457"/>
      <c r="AN53" s="457"/>
      <c r="AO53" s="457">
        <v>6000</v>
      </c>
      <c r="AP53" s="456"/>
      <c r="AQ53" s="457"/>
      <c r="AR53" s="457"/>
      <c r="AS53" s="457"/>
      <c r="AT53" s="457"/>
      <c r="AU53" s="456"/>
      <c r="AV53" s="457"/>
      <c r="AW53" s="457"/>
      <c r="AX53" s="457"/>
      <c r="AY53" s="457"/>
      <c r="AZ53" s="456"/>
      <c r="BA53" s="457"/>
      <c r="BB53" s="457"/>
      <c r="BC53" s="457"/>
      <c r="BD53" s="457"/>
      <c r="BE53" s="456"/>
      <c r="BF53" s="457"/>
      <c r="BG53" s="457"/>
      <c r="BH53" s="457"/>
      <c r="BI53" s="457"/>
      <c r="BJ53" s="456"/>
      <c r="BK53" s="457"/>
      <c r="BL53" s="457"/>
      <c r="BM53" s="457"/>
      <c r="BN53" s="457"/>
      <c r="BO53" s="456"/>
      <c r="BP53" s="457"/>
      <c r="BQ53" s="457"/>
      <c r="BR53" s="457"/>
      <c r="BS53" s="457"/>
      <c r="BT53" s="456"/>
      <c r="BU53" s="457"/>
      <c r="BV53" s="457"/>
      <c r="BW53" s="457"/>
      <c r="BX53" s="457"/>
      <c r="BY53" s="456"/>
      <c r="BZ53" s="457"/>
      <c r="CA53" s="457"/>
      <c r="CB53" s="457"/>
      <c r="CC53" s="457"/>
      <c r="CD53" s="456"/>
      <c r="CE53" s="457"/>
      <c r="CF53" s="457"/>
      <c r="CG53" s="457"/>
      <c r="CH53" s="457"/>
      <c r="CI53" s="456">
        <f t="shared" si="59"/>
        <v>18000</v>
      </c>
      <c r="CJ53" s="457">
        <f t="shared" si="60"/>
        <v>0</v>
      </c>
      <c r="CK53" s="457">
        <f t="shared" si="61"/>
        <v>0</v>
      </c>
      <c r="CL53" s="457">
        <f t="shared" si="62"/>
        <v>0</v>
      </c>
      <c r="CM53" s="457">
        <f t="shared" si="63"/>
        <v>18000</v>
      </c>
      <c r="CN53" s="456">
        <f t="shared" si="53"/>
        <v>18000</v>
      </c>
      <c r="CO53" s="457">
        <f t="shared" si="54"/>
        <v>0</v>
      </c>
      <c r="CP53" s="457">
        <f t="shared" si="55"/>
        <v>0</v>
      </c>
      <c r="CQ53" s="457">
        <f t="shared" si="56"/>
        <v>0</v>
      </c>
      <c r="CR53" s="457">
        <f t="shared" si="57"/>
        <v>18000</v>
      </c>
      <c r="CS53" s="456">
        <f t="shared" si="58"/>
        <v>0</v>
      </c>
      <c r="CT53" s="471"/>
    </row>
    <row r="54" spans="1:195" s="6" customFormat="1" ht="120" x14ac:dyDescent="0.3">
      <c r="A54" s="458" t="s">
        <v>44</v>
      </c>
      <c r="B54" s="462" t="s">
        <v>102</v>
      </c>
      <c r="C54" s="455" t="s">
        <v>1017</v>
      </c>
      <c r="D54" s="452" t="s">
        <v>98</v>
      </c>
      <c r="E54" s="467" t="s">
        <v>95</v>
      </c>
      <c r="F54" s="461" t="s">
        <v>985</v>
      </c>
      <c r="G54" s="452" t="s">
        <v>54</v>
      </c>
      <c r="H54" s="533">
        <v>39</v>
      </c>
      <c r="I54" s="452">
        <v>8</v>
      </c>
      <c r="J54" s="637">
        <v>10</v>
      </c>
      <c r="K54" s="452">
        <v>12</v>
      </c>
      <c r="L54" s="637">
        <v>10</v>
      </c>
      <c r="M54" s="643">
        <v>10</v>
      </c>
      <c r="N54" s="610"/>
      <c r="O54" s="615"/>
      <c r="P54" s="610"/>
      <c r="Q54" s="452">
        <v>10</v>
      </c>
      <c r="R54" s="452">
        <v>10</v>
      </c>
      <c r="S54" s="452">
        <v>10</v>
      </c>
      <c r="T54" s="452">
        <v>10</v>
      </c>
      <c r="U54" s="452">
        <v>10</v>
      </c>
      <c r="V54" s="452">
        <v>10</v>
      </c>
      <c r="W54" s="452">
        <v>10</v>
      </c>
      <c r="X54" s="452">
        <v>10</v>
      </c>
      <c r="Y54" s="452">
        <v>10</v>
      </c>
      <c r="Z54" s="452">
        <v>10</v>
      </c>
      <c r="AA54" s="456">
        <v>650</v>
      </c>
      <c r="AB54" s="457"/>
      <c r="AC54" s="457"/>
      <c r="AD54" s="457"/>
      <c r="AE54" s="457">
        <v>650</v>
      </c>
      <c r="AF54" s="456">
        <v>650</v>
      </c>
      <c r="AG54" s="457"/>
      <c r="AH54" s="457"/>
      <c r="AI54" s="457"/>
      <c r="AJ54" s="457">
        <v>650</v>
      </c>
      <c r="AK54" s="456">
        <v>650</v>
      </c>
      <c r="AL54" s="457"/>
      <c r="AM54" s="457"/>
      <c r="AN54" s="457"/>
      <c r="AO54" s="457">
        <v>650</v>
      </c>
      <c r="AP54" s="456"/>
      <c r="AQ54" s="457"/>
      <c r="AR54" s="457"/>
      <c r="AS54" s="457"/>
      <c r="AT54" s="457"/>
      <c r="AU54" s="456"/>
      <c r="AV54" s="457"/>
      <c r="AW54" s="457"/>
      <c r="AX54" s="457"/>
      <c r="AY54" s="457"/>
      <c r="AZ54" s="456"/>
      <c r="BA54" s="457"/>
      <c r="BB54" s="457"/>
      <c r="BC54" s="457"/>
      <c r="BD54" s="457"/>
      <c r="BE54" s="456"/>
      <c r="BF54" s="457"/>
      <c r="BG54" s="457"/>
      <c r="BH54" s="457"/>
      <c r="BI54" s="457"/>
      <c r="BJ54" s="456"/>
      <c r="BK54" s="457"/>
      <c r="BL54" s="457"/>
      <c r="BM54" s="457"/>
      <c r="BN54" s="457"/>
      <c r="BO54" s="456"/>
      <c r="BP54" s="457"/>
      <c r="BQ54" s="457"/>
      <c r="BR54" s="457"/>
      <c r="BS54" s="457"/>
      <c r="BT54" s="456"/>
      <c r="BU54" s="457"/>
      <c r="BV54" s="457"/>
      <c r="BW54" s="457"/>
      <c r="BX54" s="457"/>
      <c r="BY54" s="456"/>
      <c r="BZ54" s="457"/>
      <c r="CA54" s="457"/>
      <c r="CB54" s="457"/>
      <c r="CC54" s="457"/>
      <c r="CD54" s="456"/>
      <c r="CE54" s="457"/>
      <c r="CF54" s="457"/>
      <c r="CG54" s="457"/>
      <c r="CH54" s="457"/>
      <c r="CI54" s="456">
        <f t="shared" si="59"/>
        <v>1950</v>
      </c>
      <c r="CJ54" s="457">
        <f t="shared" si="60"/>
        <v>0</v>
      </c>
      <c r="CK54" s="457">
        <f t="shared" si="61"/>
        <v>0</v>
      </c>
      <c r="CL54" s="457">
        <f t="shared" si="62"/>
        <v>0</v>
      </c>
      <c r="CM54" s="457">
        <f t="shared" si="63"/>
        <v>1950</v>
      </c>
      <c r="CN54" s="456">
        <f t="shared" si="53"/>
        <v>1950</v>
      </c>
      <c r="CO54" s="457">
        <f t="shared" si="54"/>
        <v>0</v>
      </c>
      <c r="CP54" s="457">
        <f t="shared" si="55"/>
        <v>0</v>
      </c>
      <c r="CQ54" s="457">
        <f t="shared" si="56"/>
        <v>0</v>
      </c>
      <c r="CR54" s="457">
        <f t="shared" si="57"/>
        <v>1950</v>
      </c>
      <c r="CS54" s="456">
        <f t="shared" si="58"/>
        <v>0</v>
      </c>
      <c r="CT54" s="471"/>
    </row>
    <row r="55" spans="1:195" s="6" customFormat="1" ht="192" x14ac:dyDescent="0.3">
      <c r="A55" s="171" t="s">
        <v>83</v>
      </c>
      <c r="B55" s="189" t="s">
        <v>104</v>
      </c>
      <c r="C55" s="188" t="s">
        <v>105</v>
      </c>
      <c r="D55" s="187" t="s">
        <v>814</v>
      </c>
      <c r="E55" s="187" t="s">
        <v>52</v>
      </c>
      <c r="F55" s="192" t="s">
        <v>106</v>
      </c>
      <c r="G55" s="187" t="s">
        <v>74</v>
      </c>
      <c r="H55" s="533">
        <v>38</v>
      </c>
      <c r="I55" s="187">
        <v>115</v>
      </c>
      <c r="J55" s="637">
        <v>120</v>
      </c>
      <c r="K55" s="289">
        <v>89</v>
      </c>
      <c r="L55" s="637">
        <v>130</v>
      </c>
      <c r="M55" s="643">
        <v>194</v>
      </c>
      <c r="N55" s="592" t="s">
        <v>1503</v>
      </c>
      <c r="O55" s="615" t="s">
        <v>1740</v>
      </c>
      <c r="P55" s="556"/>
      <c r="Q55" s="187">
        <v>130</v>
      </c>
      <c r="R55" s="187">
        <v>130</v>
      </c>
      <c r="S55" s="187">
        <v>130</v>
      </c>
      <c r="T55" s="187">
        <v>130</v>
      </c>
      <c r="U55" s="187">
        <v>130</v>
      </c>
      <c r="V55" s="187">
        <v>130</v>
      </c>
      <c r="W55" s="187">
        <v>130</v>
      </c>
      <c r="X55" s="187">
        <v>130</v>
      </c>
      <c r="Y55" s="187">
        <v>130</v>
      </c>
      <c r="Z55" s="187">
        <v>130</v>
      </c>
      <c r="AA55" s="181">
        <f>SUM(AB55:AE55)</f>
        <v>2126.9</v>
      </c>
      <c r="AB55" s="180">
        <v>2126.9</v>
      </c>
      <c r="AC55" s="180"/>
      <c r="AD55" s="180"/>
      <c r="AE55" s="180"/>
      <c r="AF55" s="181">
        <f>SUM(AG55:AJ55)</f>
        <v>2126.9</v>
      </c>
      <c r="AG55" s="180">
        <v>2126.9</v>
      </c>
      <c r="AH55" s="180"/>
      <c r="AI55" s="180"/>
      <c r="AJ55" s="181"/>
      <c r="AK55" s="181">
        <f>SUM(AL55:AO55)</f>
        <v>2126.9</v>
      </c>
      <c r="AL55" s="180">
        <v>2126.9</v>
      </c>
      <c r="AM55" s="180"/>
      <c r="AN55" s="180"/>
      <c r="AO55" s="180"/>
      <c r="AP55" s="181">
        <f>SUM(AQ55:AT55)</f>
        <v>2126.9</v>
      </c>
      <c r="AQ55" s="180">
        <v>2126.9</v>
      </c>
      <c r="AR55" s="180"/>
      <c r="AS55" s="180"/>
      <c r="AT55" s="180"/>
      <c r="AU55" s="181">
        <f>SUM(AV55:AY55)</f>
        <v>2126.9</v>
      </c>
      <c r="AV55" s="180">
        <v>2126.9</v>
      </c>
      <c r="AW55" s="180"/>
      <c r="AX55" s="180"/>
      <c r="AY55" s="180"/>
      <c r="AZ55" s="181">
        <f>SUM(BA55:BD55)</f>
        <v>2126.9</v>
      </c>
      <c r="BA55" s="180">
        <v>2126.9</v>
      </c>
      <c r="BB55" s="180"/>
      <c r="BC55" s="180"/>
      <c r="BD55" s="180"/>
      <c r="BE55" s="181">
        <f>SUM(BF55:BI55)</f>
        <v>2126.9</v>
      </c>
      <c r="BF55" s="180">
        <v>2126.9</v>
      </c>
      <c r="BG55" s="180"/>
      <c r="BH55" s="180"/>
      <c r="BI55" s="180"/>
      <c r="BJ55" s="181">
        <f>SUM(BK55:BN55)</f>
        <v>2126.9</v>
      </c>
      <c r="BK55" s="180">
        <v>2126.9</v>
      </c>
      <c r="BL55" s="180"/>
      <c r="BM55" s="180"/>
      <c r="BN55" s="180"/>
      <c r="BO55" s="181">
        <f>SUM(BP55:BS55)</f>
        <v>2126.9</v>
      </c>
      <c r="BP55" s="180">
        <v>2126.9</v>
      </c>
      <c r="BQ55" s="180"/>
      <c r="BR55" s="180"/>
      <c r="BS55" s="180"/>
      <c r="BT55" s="181">
        <f>SUM(BU55:BX55)</f>
        <v>2126.9</v>
      </c>
      <c r="BU55" s="180">
        <v>2126.9</v>
      </c>
      <c r="BV55" s="180"/>
      <c r="BW55" s="180"/>
      <c r="BX55" s="180"/>
      <c r="BY55" s="181">
        <f>SUM(BZ55:CC55)</f>
        <v>2126.9</v>
      </c>
      <c r="BZ55" s="180">
        <v>2126.9</v>
      </c>
      <c r="CA55" s="180"/>
      <c r="CB55" s="180"/>
      <c r="CC55" s="180"/>
      <c r="CD55" s="181">
        <f>SUM(CE55:CH55)</f>
        <v>2126.9</v>
      </c>
      <c r="CE55" s="180">
        <v>2126.9</v>
      </c>
      <c r="CF55" s="180"/>
      <c r="CG55" s="180"/>
      <c r="CH55" s="180"/>
      <c r="CI55" s="181">
        <f t="shared" si="59"/>
        <v>6380.7000000000007</v>
      </c>
      <c r="CJ55" s="180">
        <f t="shared" si="60"/>
        <v>6380.7000000000007</v>
      </c>
      <c r="CK55" s="180">
        <f t="shared" si="61"/>
        <v>0</v>
      </c>
      <c r="CL55" s="180">
        <f t="shared" si="62"/>
        <v>0</v>
      </c>
      <c r="CM55" s="180">
        <f t="shared" si="63"/>
        <v>0</v>
      </c>
      <c r="CN55" s="181">
        <f t="shared" si="53"/>
        <v>25522.800000000007</v>
      </c>
      <c r="CO55" s="180">
        <f t="shared" si="54"/>
        <v>25522.800000000007</v>
      </c>
      <c r="CP55" s="180">
        <f t="shared" si="55"/>
        <v>0</v>
      </c>
      <c r="CQ55" s="180">
        <f t="shared" si="56"/>
        <v>0</v>
      </c>
      <c r="CR55" s="180">
        <f t="shared" si="57"/>
        <v>0</v>
      </c>
      <c r="CS55" s="273">
        <f t="shared" si="58"/>
        <v>0</v>
      </c>
      <c r="CT55" s="471"/>
    </row>
    <row r="56" spans="1:195" s="6" customFormat="1" ht="144" x14ac:dyDescent="0.3">
      <c r="A56" s="320" t="s">
        <v>86</v>
      </c>
      <c r="B56" s="323" t="s">
        <v>108</v>
      </c>
      <c r="C56" s="317" t="s">
        <v>109</v>
      </c>
      <c r="D56" s="316" t="s">
        <v>814</v>
      </c>
      <c r="E56" s="316" t="s">
        <v>84</v>
      </c>
      <c r="F56" s="48" t="s">
        <v>110</v>
      </c>
      <c r="G56" s="316" t="s">
        <v>54</v>
      </c>
      <c r="H56" s="533">
        <v>0</v>
      </c>
      <c r="I56" s="316">
        <v>0</v>
      </c>
      <c r="J56" s="637">
        <v>0</v>
      </c>
      <c r="K56" s="316"/>
      <c r="L56" s="637">
        <v>0</v>
      </c>
      <c r="M56" s="643">
        <v>0</v>
      </c>
      <c r="N56" s="592"/>
      <c r="O56" s="615"/>
      <c r="P56" s="556"/>
      <c r="Q56" s="316">
        <v>0</v>
      </c>
      <c r="R56" s="316">
        <v>0</v>
      </c>
      <c r="S56" s="316">
        <v>0</v>
      </c>
      <c r="T56" s="316">
        <v>0</v>
      </c>
      <c r="U56" s="316">
        <v>1</v>
      </c>
      <c r="V56" s="316">
        <v>1</v>
      </c>
      <c r="W56" s="316">
        <v>1</v>
      </c>
      <c r="X56" s="316">
        <v>1</v>
      </c>
      <c r="Y56" s="316">
        <v>1</v>
      </c>
      <c r="Z56" s="316">
        <v>1</v>
      </c>
      <c r="AA56" s="318"/>
      <c r="AB56" s="319"/>
      <c r="AC56" s="319"/>
      <c r="AD56" s="319"/>
      <c r="AE56" s="319"/>
      <c r="AF56" s="319"/>
      <c r="AG56" s="319"/>
      <c r="AH56" s="319"/>
      <c r="AI56" s="319"/>
      <c r="AJ56" s="319"/>
      <c r="AK56" s="319"/>
      <c r="AL56" s="319"/>
      <c r="AM56" s="319"/>
      <c r="AN56" s="319"/>
      <c r="AO56" s="319"/>
      <c r="AP56" s="318"/>
      <c r="AQ56" s="319"/>
      <c r="AR56" s="319"/>
      <c r="AS56" s="319"/>
      <c r="AT56" s="319"/>
      <c r="AU56" s="318"/>
      <c r="AV56" s="319"/>
      <c r="AW56" s="319"/>
      <c r="AX56" s="319"/>
      <c r="AY56" s="319"/>
      <c r="AZ56" s="318"/>
      <c r="BA56" s="319"/>
      <c r="BB56" s="319"/>
      <c r="BC56" s="319"/>
      <c r="BD56" s="319"/>
      <c r="BE56" s="318">
        <v>550</v>
      </c>
      <c r="BF56" s="319"/>
      <c r="BG56" s="319"/>
      <c r="BH56" s="319"/>
      <c r="BI56" s="319"/>
      <c r="BJ56" s="318">
        <v>350</v>
      </c>
      <c r="BK56" s="319"/>
      <c r="BL56" s="319"/>
      <c r="BM56" s="319"/>
      <c r="BN56" s="319"/>
      <c r="BO56" s="318">
        <v>350</v>
      </c>
      <c r="BP56" s="319"/>
      <c r="BQ56" s="319"/>
      <c r="BR56" s="319"/>
      <c r="BS56" s="319"/>
      <c r="BT56" s="318">
        <v>350</v>
      </c>
      <c r="BU56" s="319"/>
      <c r="BV56" s="319"/>
      <c r="BW56" s="319"/>
      <c r="BX56" s="319"/>
      <c r="BY56" s="318">
        <v>350</v>
      </c>
      <c r="BZ56" s="319"/>
      <c r="CA56" s="319"/>
      <c r="CB56" s="319"/>
      <c r="CC56" s="319"/>
      <c r="CD56" s="318">
        <v>350</v>
      </c>
      <c r="CE56" s="319"/>
      <c r="CF56" s="319"/>
      <c r="CG56" s="319"/>
      <c r="CH56" s="319"/>
      <c r="CI56" s="318">
        <f t="shared" ref="CI56:CI57" si="64">AA56+AF56+AK56</f>
        <v>0</v>
      </c>
      <c r="CJ56" s="319">
        <f t="shared" ref="CJ56:CJ58" si="65">AB56+AG56+AL56</f>
        <v>0</v>
      </c>
      <c r="CK56" s="319">
        <f t="shared" ref="CK56:CK58" si="66">AC56+AH56+AM56</f>
        <v>0</v>
      </c>
      <c r="CL56" s="319">
        <f t="shared" ref="CL56:CL58" si="67">AD56+AI56+AN56</f>
        <v>0</v>
      </c>
      <c r="CM56" s="319">
        <f t="shared" ref="CM56:CM58" si="68">AE56+AJ56+AO56</f>
        <v>0</v>
      </c>
      <c r="CN56" s="318">
        <f t="shared" si="53"/>
        <v>2300</v>
      </c>
      <c r="CO56" s="319">
        <f t="shared" si="54"/>
        <v>0</v>
      </c>
      <c r="CP56" s="319">
        <f t="shared" si="55"/>
        <v>0</v>
      </c>
      <c r="CQ56" s="319">
        <f t="shared" si="56"/>
        <v>0</v>
      </c>
      <c r="CR56" s="319">
        <f t="shared" si="57"/>
        <v>0</v>
      </c>
      <c r="CS56" s="318">
        <f t="shared" si="58"/>
        <v>2300</v>
      </c>
      <c r="CT56" s="471"/>
    </row>
    <row r="57" spans="1:195" s="6" customFormat="1" ht="254.25" customHeight="1" x14ac:dyDescent="0.3">
      <c r="A57" s="320" t="s">
        <v>47</v>
      </c>
      <c r="B57" s="323" t="s">
        <v>111</v>
      </c>
      <c r="C57" s="317" t="s">
        <v>1271</v>
      </c>
      <c r="D57" s="316" t="s">
        <v>1131</v>
      </c>
      <c r="E57" s="316">
        <v>2022</v>
      </c>
      <c r="F57" s="324" t="s">
        <v>112</v>
      </c>
      <c r="G57" s="316" t="s">
        <v>113</v>
      </c>
      <c r="H57" s="533"/>
      <c r="I57" s="316"/>
      <c r="J57" s="637"/>
      <c r="K57" s="316"/>
      <c r="L57" s="637"/>
      <c r="M57" s="643">
        <v>0</v>
      </c>
      <c r="N57" s="592"/>
      <c r="O57" s="615" t="s">
        <v>1698</v>
      </c>
      <c r="P57" s="545"/>
      <c r="Q57" s="316"/>
      <c r="R57" s="316">
        <v>2</v>
      </c>
      <c r="S57" s="316"/>
      <c r="T57" s="316"/>
      <c r="U57" s="316"/>
      <c r="V57" s="316"/>
      <c r="W57" s="316"/>
      <c r="X57" s="316"/>
      <c r="Y57" s="316"/>
      <c r="Z57" s="316"/>
      <c r="AA57" s="319"/>
      <c r="AB57" s="319"/>
      <c r="AC57" s="319"/>
      <c r="AD57" s="319"/>
      <c r="AE57" s="319"/>
      <c r="AF57" s="319"/>
      <c r="AG57" s="319"/>
      <c r="AH57" s="319"/>
      <c r="AI57" s="319"/>
      <c r="AJ57" s="319"/>
      <c r="AK57" s="319"/>
      <c r="AL57" s="319"/>
      <c r="AM57" s="319"/>
      <c r="AN57" s="319"/>
      <c r="AO57" s="319"/>
      <c r="AP57" s="318">
        <v>0</v>
      </c>
      <c r="AQ57" s="319"/>
      <c r="AR57" s="319"/>
      <c r="AS57" s="319"/>
      <c r="AT57" s="319"/>
      <c r="AU57" s="318"/>
      <c r="AV57" s="319"/>
      <c r="AW57" s="319"/>
      <c r="AX57" s="319"/>
      <c r="AY57" s="319"/>
      <c r="AZ57" s="318"/>
      <c r="BA57" s="319"/>
      <c r="BB57" s="319"/>
      <c r="BC57" s="319"/>
      <c r="BD57" s="319"/>
      <c r="BE57" s="318"/>
      <c r="BF57" s="319"/>
      <c r="BG57" s="319"/>
      <c r="BH57" s="319"/>
      <c r="BI57" s="319"/>
      <c r="BJ57" s="318"/>
      <c r="BK57" s="319"/>
      <c r="BL57" s="319"/>
      <c r="BM57" s="319"/>
      <c r="BN57" s="319"/>
      <c r="BO57" s="318"/>
      <c r="BP57" s="319"/>
      <c r="BQ57" s="319"/>
      <c r="BR57" s="319"/>
      <c r="BS57" s="319"/>
      <c r="BT57" s="318"/>
      <c r="BU57" s="319"/>
      <c r="BV57" s="319"/>
      <c r="BW57" s="319"/>
      <c r="BX57" s="319"/>
      <c r="BY57" s="318"/>
      <c r="BZ57" s="319"/>
      <c r="CA57" s="319"/>
      <c r="CB57" s="319"/>
      <c r="CC57" s="319"/>
      <c r="CD57" s="318"/>
      <c r="CE57" s="319"/>
      <c r="CF57" s="319"/>
      <c r="CG57" s="319"/>
      <c r="CH57" s="319"/>
      <c r="CI57" s="318">
        <f t="shared" si="64"/>
        <v>0</v>
      </c>
      <c r="CJ57" s="319">
        <f t="shared" si="65"/>
        <v>0</v>
      </c>
      <c r="CK57" s="319">
        <f t="shared" si="66"/>
        <v>0</v>
      </c>
      <c r="CL57" s="319">
        <f t="shared" si="67"/>
        <v>0</v>
      </c>
      <c r="CM57" s="319">
        <f t="shared" si="68"/>
        <v>0</v>
      </c>
      <c r="CN57" s="318">
        <f t="shared" ref="CN57:CR58" si="69">AA57+AF57+AK57+AP57+AU57+AZ57+BE57+BJ57+BO57+BT57+BY57+CD57</f>
        <v>0</v>
      </c>
      <c r="CO57" s="319">
        <f t="shared" si="69"/>
        <v>0</v>
      </c>
      <c r="CP57" s="319">
        <f t="shared" si="69"/>
        <v>0</v>
      </c>
      <c r="CQ57" s="319">
        <f t="shared" si="69"/>
        <v>0</v>
      </c>
      <c r="CR57" s="319">
        <f t="shared" si="69"/>
        <v>0</v>
      </c>
      <c r="CS57" s="318">
        <f t="shared" si="58"/>
        <v>0</v>
      </c>
      <c r="CT57" s="471"/>
    </row>
    <row r="58" spans="1:195" s="6" customFormat="1" ht="288" x14ac:dyDescent="0.3">
      <c r="A58" s="685" t="s">
        <v>88</v>
      </c>
      <c r="B58" s="676" t="s">
        <v>114</v>
      </c>
      <c r="C58" s="681" t="s">
        <v>1272</v>
      </c>
      <c r="D58" s="690" t="s">
        <v>115</v>
      </c>
      <c r="E58" s="690">
        <v>2022</v>
      </c>
      <c r="F58" s="684" t="s">
        <v>1441</v>
      </c>
      <c r="G58" s="690" t="s">
        <v>117</v>
      </c>
      <c r="H58" s="690"/>
      <c r="I58" s="690"/>
      <c r="J58" s="690"/>
      <c r="K58" s="690"/>
      <c r="L58" s="690"/>
      <c r="M58" s="643"/>
      <c r="N58" s="684"/>
      <c r="O58" s="684"/>
      <c r="P58" s="684"/>
      <c r="Q58" s="690"/>
      <c r="R58" s="690" t="s">
        <v>118</v>
      </c>
      <c r="S58" s="690"/>
      <c r="T58" s="690"/>
      <c r="U58" s="690"/>
      <c r="V58" s="690"/>
      <c r="W58" s="690"/>
      <c r="X58" s="690"/>
      <c r="Y58" s="690"/>
      <c r="Z58" s="690"/>
      <c r="AA58" s="692"/>
      <c r="AB58" s="692"/>
      <c r="AC58" s="692"/>
      <c r="AD58" s="692"/>
      <c r="AE58" s="692"/>
      <c r="AF58" s="692"/>
      <c r="AG58" s="692"/>
      <c r="AH58" s="692"/>
      <c r="AI58" s="692"/>
      <c r="AJ58" s="692"/>
      <c r="AK58" s="692"/>
      <c r="AL58" s="692"/>
      <c r="AM58" s="692"/>
      <c r="AN58" s="692"/>
      <c r="AO58" s="692"/>
      <c r="AP58" s="691">
        <v>0</v>
      </c>
      <c r="AQ58" s="692"/>
      <c r="AR58" s="692"/>
      <c r="AS58" s="692"/>
      <c r="AT58" s="692"/>
      <c r="AU58" s="691"/>
      <c r="AV58" s="692"/>
      <c r="AW58" s="692"/>
      <c r="AX58" s="692"/>
      <c r="AY58" s="692"/>
      <c r="AZ58" s="691"/>
      <c r="BA58" s="692"/>
      <c r="BB58" s="692"/>
      <c r="BC58" s="692"/>
      <c r="BD58" s="692"/>
      <c r="BE58" s="691"/>
      <c r="BF58" s="692"/>
      <c r="BG58" s="692"/>
      <c r="BH58" s="692"/>
      <c r="BI58" s="692"/>
      <c r="BJ58" s="691"/>
      <c r="BK58" s="692"/>
      <c r="BL58" s="692"/>
      <c r="BM58" s="692"/>
      <c r="BN58" s="692"/>
      <c r="BO58" s="691"/>
      <c r="BP58" s="692"/>
      <c r="BQ58" s="692"/>
      <c r="BR58" s="692"/>
      <c r="BS58" s="692"/>
      <c r="BT58" s="691"/>
      <c r="BU58" s="692"/>
      <c r="BV58" s="692"/>
      <c r="BW58" s="692"/>
      <c r="BX58" s="692"/>
      <c r="BY58" s="691"/>
      <c r="BZ58" s="692"/>
      <c r="CA58" s="692"/>
      <c r="CB58" s="692"/>
      <c r="CC58" s="692"/>
      <c r="CD58" s="691"/>
      <c r="CE58" s="692"/>
      <c r="CF58" s="692"/>
      <c r="CG58" s="692"/>
      <c r="CH58" s="692"/>
      <c r="CI58" s="691">
        <f>AA58+AF58+AK58</f>
        <v>0</v>
      </c>
      <c r="CJ58" s="692">
        <f t="shared" si="65"/>
        <v>0</v>
      </c>
      <c r="CK58" s="692">
        <f t="shared" si="66"/>
        <v>0</v>
      </c>
      <c r="CL58" s="692">
        <f t="shared" si="67"/>
        <v>0</v>
      </c>
      <c r="CM58" s="692">
        <f t="shared" si="68"/>
        <v>0</v>
      </c>
      <c r="CN58" s="691">
        <f t="shared" si="69"/>
        <v>0</v>
      </c>
      <c r="CO58" s="692">
        <f t="shared" si="69"/>
        <v>0</v>
      </c>
      <c r="CP58" s="692">
        <f t="shared" si="69"/>
        <v>0</v>
      </c>
      <c r="CQ58" s="692">
        <f t="shared" si="69"/>
        <v>0</v>
      </c>
      <c r="CR58" s="692">
        <f t="shared" si="69"/>
        <v>0</v>
      </c>
      <c r="CS58" s="691">
        <f t="shared" si="58"/>
        <v>0</v>
      </c>
      <c r="CT58" s="471"/>
    </row>
    <row r="59" spans="1:195" s="3" customFormat="1" ht="49.5" customHeight="1" x14ac:dyDescent="0.3">
      <c r="A59" s="366" t="s">
        <v>119</v>
      </c>
      <c r="B59" s="849" t="s">
        <v>120</v>
      </c>
      <c r="C59" s="849"/>
      <c r="D59" s="849"/>
      <c r="E59" s="849"/>
      <c r="F59" s="849"/>
      <c r="G59" s="849"/>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49"/>
      <c r="AY59" s="849"/>
      <c r="AZ59" s="849"/>
      <c r="BA59" s="849"/>
      <c r="BB59" s="849"/>
      <c r="BC59" s="849"/>
      <c r="BD59" s="849"/>
      <c r="BE59" s="849"/>
      <c r="BF59" s="849"/>
      <c r="BG59" s="849"/>
      <c r="BH59" s="849"/>
      <c r="BI59" s="849"/>
      <c r="BJ59" s="849"/>
      <c r="BK59" s="849"/>
      <c r="BL59" s="849"/>
      <c r="BM59" s="849"/>
      <c r="BN59" s="849"/>
      <c r="BO59" s="849"/>
      <c r="BP59" s="849"/>
      <c r="BQ59" s="849"/>
      <c r="BR59" s="849"/>
      <c r="BS59" s="849"/>
      <c r="BT59" s="849"/>
      <c r="BU59" s="849"/>
      <c r="BV59" s="849"/>
      <c r="BW59" s="849"/>
      <c r="BX59" s="849"/>
      <c r="BY59" s="849"/>
      <c r="BZ59" s="849"/>
      <c r="CA59" s="849"/>
      <c r="CB59" s="849"/>
      <c r="CC59" s="849"/>
      <c r="CD59" s="849"/>
      <c r="CE59" s="849"/>
      <c r="CF59" s="849"/>
      <c r="CG59" s="849"/>
      <c r="CH59" s="849"/>
      <c r="CI59" s="849"/>
      <c r="CJ59" s="849"/>
      <c r="CK59" s="849"/>
      <c r="CL59" s="849"/>
      <c r="CM59" s="849"/>
      <c r="CN59" s="277">
        <f t="shared" ref="CN59:CS59" si="70">CN60+CN61+CN62+CN63</f>
        <v>22393.599999999999</v>
      </c>
      <c r="CO59" s="277">
        <f t="shared" si="70"/>
        <v>0</v>
      </c>
      <c r="CP59" s="277">
        <f t="shared" si="70"/>
        <v>5789.8</v>
      </c>
      <c r="CQ59" s="277">
        <f t="shared" si="70"/>
        <v>5503.7999999999993</v>
      </c>
      <c r="CR59" s="277">
        <f t="shared" si="70"/>
        <v>11100</v>
      </c>
      <c r="CS59" s="273">
        <f t="shared" si="70"/>
        <v>0</v>
      </c>
      <c r="CT59" s="471"/>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row>
    <row r="60" spans="1:195" s="6" customFormat="1" ht="240" x14ac:dyDescent="0.3">
      <c r="A60" s="53" t="s">
        <v>1248</v>
      </c>
      <c r="B60" s="54" t="s">
        <v>121</v>
      </c>
      <c r="C60" s="188" t="s">
        <v>1075</v>
      </c>
      <c r="D60" s="187" t="s">
        <v>122</v>
      </c>
      <c r="E60" s="43">
        <v>2019</v>
      </c>
      <c r="F60" s="192" t="s">
        <v>123</v>
      </c>
      <c r="G60" s="187" t="s">
        <v>74</v>
      </c>
      <c r="H60" s="115"/>
      <c r="I60" s="115">
        <v>275</v>
      </c>
      <c r="J60" s="115"/>
      <c r="K60" s="115">
        <v>283</v>
      </c>
      <c r="L60" s="115"/>
      <c r="M60" s="646">
        <v>290</v>
      </c>
      <c r="N60" s="592" t="s">
        <v>1504</v>
      </c>
      <c r="O60" s="615" t="s">
        <v>1628</v>
      </c>
      <c r="P60" s="556"/>
      <c r="Q60" s="115"/>
      <c r="R60" s="115"/>
      <c r="S60" s="115"/>
      <c r="T60" s="115"/>
      <c r="U60" s="115"/>
      <c r="V60" s="115"/>
      <c r="W60" s="115"/>
      <c r="X60" s="115"/>
      <c r="Y60" s="115"/>
      <c r="Z60" s="115"/>
      <c r="AA60" s="181">
        <f t="shared" ref="AA60:AA61" si="71">SUM(AB60:AE60)</f>
        <v>5500</v>
      </c>
      <c r="AB60" s="55"/>
      <c r="AC60" s="55">
        <v>5500</v>
      </c>
      <c r="AD60" s="55"/>
      <c r="AE60" s="55"/>
      <c r="AF60" s="181">
        <f t="shared" ref="AF60:AF61" si="72">SUM(AG60:AJ60)</f>
        <v>0</v>
      </c>
      <c r="AG60" s="55"/>
      <c r="AH60" s="55"/>
      <c r="AI60" s="55"/>
      <c r="AJ60" s="55"/>
      <c r="AK60" s="181">
        <f t="shared" ref="AK60:AK61" si="73">SUM(AL60:AO60)</f>
        <v>0</v>
      </c>
      <c r="AL60" s="55"/>
      <c r="AM60" s="55"/>
      <c r="AN60" s="55"/>
      <c r="AO60" s="55"/>
      <c r="AP60" s="181">
        <f t="shared" ref="AP60:AP61" si="74">SUM(AQ60:AT60)</f>
        <v>0</v>
      </c>
      <c r="AQ60" s="55"/>
      <c r="AR60" s="55"/>
      <c r="AS60" s="55"/>
      <c r="AT60" s="55"/>
      <c r="AU60" s="181">
        <f t="shared" ref="AU60:AU61" si="75">SUM(AV60:AY60)</f>
        <v>0</v>
      </c>
      <c r="AV60" s="55"/>
      <c r="AW60" s="55"/>
      <c r="AX60" s="55"/>
      <c r="AY60" s="55"/>
      <c r="AZ60" s="181">
        <f t="shared" ref="AZ60:AZ61" si="76">SUM(BA60:BD60)</f>
        <v>0</v>
      </c>
      <c r="BA60" s="55"/>
      <c r="BB60" s="55"/>
      <c r="BC60" s="55"/>
      <c r="BD60" s="55"/>
      <c r="BE60" s="181">
        <f t="shared" ref="BE60" si="77">SUM(BF60:BI60)</f>
        <v>0</v>
      </c>
      <c r="BF60" s="55"/>
      <c r="BG60" s="55"/>
      <c r="BH60" s="55"/>
      <c r="BI60" s="55"/>
      <c r="BJ60" s="181">
        <f t="shared" ref="BJ60" si="78">SUM(BK60:BN60)</f>
        <v>0</v>
      </c>
      <c r="BK60" s="55"/>
      <c r="BL60" s="55"/>
      <c r="BM60" s="55"/>
      <c r="BN60" s="55"/>
      <c r="BO60" s="181">
        <f t="shared" ref="BO60" si="79">SUM(BP60:BS60)</f>
        <v>0</v>
      </c>
      <c r="BP60" s="55"/>
      <c r="BQ60" s="55"/>
      <c r="BR60" s="55"/>
      <c r="BS60" s="55"/>
      <c r="BT60" s="181">
        <f t="shared" ref="BT60" si="80">SUM(BU60:BX60)</f>
        <v>0</v>
      </c>
      <c r="BU60" s="55"/>
      <c r="BV60" s="55"/>
      <c r="BW60" s="55"/>
      <c r="BX60" s="55"/>
      <c r="BY60" s="181">
        <f t="shared" ref="BY60" si="81">SUM(BZ60:CC60)</f>
        <v>0</v>
      </c>
      <c r="BZ60" s="55"/>
      <c r="CA60" s="55"/>
      <c r="CB60" s="55"/>
      <c r="CC60" s="55"/>
      <c r="CD60" s="181">
        <f t="shared" ref="CD60" si="82">SUM(CE60:CH60)</f>
        <v>0</v>
      </c>
      <c r="CE60" s="55"/>
      <c r="CF60" s="55"/>
      <c r="CG60" s="55"/>
      <c r="CH60" s="55"/>
      <c r="CI60" s="181">
        <f>AA60+AF60+AK60</f>
        <v>5500</v>
      </c>
      <c r="CJ60" s="180">
        <f t="shared" ref="CJ60" si="83">AB60+AG60+AL60</f>
        <v>0</v>
      </c>
      <c r="CK60" s="180">
        <f t="shared" ref="CK60" si="84">AC60+AH60+AM60</f>
        <v>5500</v>
      </c>
      <c r="CL60" s="180">
        <f t="shared" ref="CL60" si="85">AD60+AI60+AN60</f>
        <v>0</v>
      </c>
      <c r="CM60" s="180">
        <f t="shared" ref="CM60" si="86">AE60+AJ60+AO60</f>
        <v>0</v>
      </c>
      <c r="CN60" s="181">
        <f t="shared" ref="CN60:CR63" si="87">AA60+AF60+AK60+AP60+AU60+AZ60+BE60+BJ60+BO60+BT60+BY60+CD60</f>
        <v>5500</v>
      </c>
      <c r="CO60" s="180">
        <f t="shared" si="87"/>
        <v>0</v>
      </c>
      <c r="CP60" s="180">
        <f t="shared" si="87"/>
        <v>5500</v>
      </c>
      <c r="CQ60" s="180">
        <f t="shared" si="87"/>
        <v>0</v>
      </c>
      <c r="CR60" s="180">
        <f t="shared" si="87"/>
        <v>0</v>
      </c>
      <c r="CS60" s="273">
        <f>CN60-CO60-CP60-CQ60-CR60</f>
        <v>0</v>
      </c>
      <c r="CT60" s="471"/>
    </row>
    <row r="61" spans="1:195" s="6" customFormat="1" ht="409.5" x14ac:dyDescent="0.3">
      <c r="A61" s="53" t="s">
        <v>1249</v>
      </c>
      <c r="B61" s="188" t="s">
        <v>1218</v>
      </c>
      <c r="C61" s="188" t="s">
        <v>1076</v>
      </c>
      <c r="D61" s="187" t="s">
        <v>122</v>
      </c>
      <c r="E61" s="43" t="s">
        <v>152</v>
      </c>
      <c r="F61" s="192" t="s">
        <v>125</v>
      </c>
      <c r="G61" s="43" t="s">
        <v>74</v>
      </c>
      <c r="H61" s="115"/>
      <c r="I61" s="115">
        <v>25</v>
      </c>
      <c r="J61" s="115">
        <v>25</v>
      </c>
      <c r="K61" s="115">
        <v>29</v>
      </c>
      <c r="L61" s="115">
        <v>25</v>
      </c>
      <c r="M61" s="646">
        <v>150</v>
      </c>
      <c r="N61" s="592" t="s">
        <v>1505</v>
      </c>
      <c r="O61" s="615" t="s">
        <v>1655</v>
      </c>
      <c r="P61" s="549"/>
      <c r="Q61" s="115">
        <v>25</v>
      </c>
      <c r="R61" s="115"/>
      <c r="S61" s="115"/>
      <c r="T61" s="115"/>
      <c r="U61" s="115"/>
      <c r="V61" s="115"/>
      <c r="W61" s="115"/>
      <c r="X61" s="115"/>
      <c r="Y61" s="115"/>
      <c r="Z61" s="115"/>
      <c r="AA61" s="181">
        <f t="shared" si="71"/>
        <v>1931.1999999999998</v>
      </c>
      <c r="AB61" s="55"/>
      <c r="AC61" s="55">
        <v>96.6</v>
      </c>
      <c r="AD61" s="55">
        <v>1834.6</v>
      </c>
      <c r="AE61" s="55"/>
      <c r="AF61" s="181">
        <f t="shared" si="72"/>
        <v>1931.1999999999998</v>
      </c>
      <c r="AG61" s="55"/>
      <c r="AH61" s="55">
        <v>96.6</v>
      </c>
      <c r="AI61" s="55">
        <v>1834.6</v>
      </c>
      <c r="AJ61" s="55"/>
      <c r="AK61" s="181">
        <f t="shared" si="73"/>
        <v>1931.1999999999998</v>
      </c>
      <c r="AL61" s="55"/>
      <c r="AM61" s="55">
        <v>96.6</v>
      </c>
      <c r="AN61" s="55">
        <v>1834.6</v>
      </c>
      <c r="AO61" s="55"/>
      <c r="AP61" s="181">
        <f t="shared" si="74"/>
        <v>0</v>
      </c>
      <c r="AQ61" s="55"/>
      <c r="AR61" s="55"/>
      <c r="AS61" s="55"/>
      <c r="AT61" s="55"/>
      <c r="AU61" s="181">
        <f t="shared" si="75"/>
        <v>0</v>
      </c>
      <c r="AV61" s="55"/>
      <c r="AW61" s="55"/>
      <c r="AX61" s="55"/>
      <c r="AY61" s="55"/>
      <c r="AZ61" s="181">
        <f t="shared" si="76"/>
        <v>0</v>
      </c>
      <c r="BA61" s="55"/>
      <c r="BB61" s="55"/>
      <c r="BC61" s="55"/>
      <c r="BD61" s="55"/>
      <c r="BE61" s="181"/>
      <c r="BF61" s="55"/>
      <c r="BG61" s="55"/>
      <c r="BH61" s="55"/>
      <c r="BI61" s="55"/>
      <c r="BJ61" s="181"/>
      <c r="BK61" s="55"/>
      <c r="BL61" s="55"/>
      <c r="BM61" s="55"/>
      <c r="BN61" s="55"/>
      <c r="BO61" s="181"/>
      <c r="BP61" s="55"/>
      <c r="BQ61" s="55"/>
      <c r="BR61" s="55"/>
      <c r="BS61" s="55"/>
      <c r="BT61" s="181"/>
      <c r="BU61" s="55"/>
      <c r="BV61" s="55"/>
      <c r="BW61" s="55"/>
      <c r="BX61" s="55"/>
      <c r="BY61" s="181"/>
      <c r="BZ61" s="55"/>
      <c r="CA61" s="55"/>
      <c r="CB61" s="55"/>
      <c r="CC61" s="55"/>
      <c r="CD61" s="181"/>
      <c r="CE61" s="55"/>
      <c r="CF61" s="55"/>
      <c r="CG61" s="55"/>
      <c r="CH61" s="55"/>
      <c r="CI61" s="181">
        <f t="shared" ref="CI61:CI63" si="88">AA61+AF61+AK61</f>
        <v>5793.5999999999995</v>
      </c>
      <c r="CJ61" s="180">
        <f t="shared" ref="CJ61:CJ63" si="89">AB61+AG61+AL61</f>
        <v>0</v>
      </c>
      <c r="CK61" s="180">
        <f t="shared" ref="CK61:CK63" si="90">AC61+AH61+AM61</f>
        <v>289.79999999999995</v>
      </c>
      <c r="CL61" s="180">
        <f t="shared" ref="CL61:CL63" si="91">AD61+AI61+AN61</f>
        <v>5503.7999999999993</v>
      </c>
      <c r="CM61" s="180">
        <f t="shared" ref="CM61:CM63" si="92">AE61+AJ61+AO61</f>
        <v>0</v>
      </c>
      <c r="CN61" s="181">
        <f t="shared" si="87"/>
        <v>5793.5999999999995</v>
      </c>
      <c r="CO61" s="180">
        <f t="shared" si="87"/>
        <v>0</v>
      </c>
      <c r="CP61" s="180">
        <f t="shared" si="87"/>
        <v>289.79999999999995</v>
      </c>
      <c r="CQ61" s="180">
        <f t="shared" si="87"/>
        <v>5503.7999999999993</v>
      </c>
      <c r="CR61" s="180">
        <f t="shared" si="87"/>
        <v>0</v>
      </c>
      <c r="CS61" s="273">
        <f>CN61-CO61-CP61-CQ61-CR61</f>
        <v>0</v>
      </c>
      <c r="CT61" s="471"/>
    </row>
    <row r="62" spans="1:195" s="6" customFormat="1" ht="120" x14ac:dyDescent="0.3">
      <c r="A62" s="53" t="s">
        <v>126</v>
      </c>
      <c r="B62" s="188" t="s">
        <v>127</v>
      </c>
      <c r="C62" s="188" t="s">
        <v>1077</v>
      </c>
      <c r="D62" s="187" t="s">
        <v>1133</v>
      </c>
      <c r="E62" s="43">
        <v>2019</v>
      </c>
      <c r="F62" s="192" t="s">
        <v>128</v>
      </c>
      <c r="G62" s="43" t="s">
        <v>117</v>
      </c>
      <c r="H62" s="115"/>
      <c r="I62" s="115" t="s">
        <v>118</v>
      </c>
      <c r="J62" s="115"/>
      <c r="K62" s="115" t="s">
        <v>118</v>
      </c>
      <c r="L62" s="115"/>
      <c r="M62" s="646" t="s">
        <v>118</v>
      </c>
      <c r="N62" s="587" t="s">
        <v>1506</v>
      </c>
      <c r="O62" s="615" t="s">
        <v>1678</v>
      </c>
      <c r="P62" s="587"/>
      <c r="Q62" s="115"/>
      <c r="R62" s="115"/>
      <c r="S62" s="115"/>
      <c r="T62" s="115"/>
      <c r="U62" s="115"/>
      <c r="V62" s="115"/>
      <c r="W62" s="115"/>
      <c r="X62" s="115"/>
      <c r="Y62" s="115"/>
      <c r="Z62" s="115"/>
      <c r="AA62" s="181">
        <f>SUM(AB62:AE62)</f>
        <v>6600</v>
      </c>
      <c r="AB62" s="55"/>
      <c r="AC62" s="55"/>
      <c r="AD62" s="55"/>
      <c r="AE62" s="55">
        <v>6600</v>
      </c>
      <c r="AF62" s="181"/>
      <c r="AG62" s="55"/>
      <c r="AH62" s="55"/>
      <c r="AI62" s="55"/>
      <c r="AJ62" s="55"/>
      <c r="AK62" s="181"/>
      <c r="AL62" s="55"/>
      <c r="AM62" s="55"/>
      <c r="AN62" s="55"/>
      <c r="AO62" s="55"/>
      <c r="AP62" s="181"/>
      <c r="AQ62" s="55"/>
      <c r="AR62" s="55"/>
      <c r="AS62" s="55"/>
      <c r="AT62" s="55"/>
      <c r="AU62" s="181"/>
      <c r="AV62" s="55"/>
      <c r="AW62" s="55"/>
      <c r="AX62" s="55"/>
      <c r="AY62" s="55"/>
      <c r="AZ62" s="181"/>
      <c r="BA62" s="55"/>
      <c r="BB62" s="55"/>
      <c r="BC62" s="55"/>
      <c r="BD62" s="55"/>
      <c r="BE62" s="181"/>
      <c r="BF62" s="55"/>
      <c r="BG62" s="55"/>
      <c r="BH62" s="55"/>
      <c r="BI62" s="55"/>
      <c r="BJ62" s="181"/>
      <c r="BK62" s="55"/>
      <c r="BL62" s="55"/>
      <c r="BM62" s="55"/>
      <c r="BN62" s="55"/>
      <c r="BO62" s="181"/>
      <c r="BP62" s="55"/>
      <c r="BQ62" s="55"/>
      <c r="BR62" s="55"/>
      <c r="BS62" s="55"/>
      <c r="BT62" s="181"/>
      <c r="BU62" s="55"/>
      <c r="BV62" s="55"/>
      <c r="BW62" s="55"/>
      <c r="BX62" s="55"/>
      <c r="BY62" s="181"/>
      <c r="BZ62" s="55"/>
      <c r="CA62" s="55"/>
      <c r="CB62" s="55"/>
      <c r="CC62" s="55"/>
      <c r="CD62" s="181"/>
      <c r="CE62" s="55"/>
      <c r="CF62" s="55"/>
      <c r="CG62" s="55"/>
      <c r="CH62" s="55"/>
      <c r="CI62" s="181">
        <f t="shared" si="88"/>
        <v>6600</v>
      </c>
      <c r="CJ62" s="180">
        <f t="shared" si="89"/>
        <v>0</v>
      </c>
      <c r="CK62" s="180">
        <f t="shared" si="90"/>
        <v>0</v>
      </c>
      <c r="CL62" s="180">
        <f t="shared" si="91"/>
        <v>0</v>
      </c>
      <c r="CM62" s="180">
        <f t="shared" si="92"/>
        <v>6600</v>
      </c>
      <c r="CN62" s="181">
        <f t="shared" si="87"/>
        <v>6600</v>
      </c>
      <c r="CO62" s="180">
        <f t="shared" si="87"/>
        <v>0</v>
      </c>
      <c r="CP62" s="180">
        <f t="shared" si="87"/>
        <v>0</v>
      </c>
      <c r="CQ62" s="180">
        <f t="shared" si="87"/>
        <v>0</v>
      </c>
      <c r="CR62" s="180">
        <f t="shared" si="87"/>
        <v>6600</v>
      </c>
      <c r="CS62" s="273">
        <f>CN62-CO62-CP62-CQ62-CR62</f>
        <v>0</v>
      </c>
      <c r="CT62" s="471"/>
    </row>
    <row r="63" spans="1:195" s="6" customFormat="1" ht="72" x14ac:dyDescent="0.3">
      <c r="A63" s="53" t="s">
        <v>129</v>
      </c>
      <c r="B63" s="188" t="s">
        <v>130</v>
      </c>
      <c r="C63" s="188" t="s">
        <v>131</v>
      </c>
      <c r="D63" s="187" t="s">
        <v>1133</v>
      </c>
      <c r="E63" s="43">
        <v>2019</v>
      </c>
      <c r="F63" s="192" t="s">
        <v>947</v>
      </c>
      <c r="G63" s="43" t="s">
        <v>931</v>
      </c>
      <c r="H63" s="115"/>
      <c r="I63" s="115">
        <v>1</v>
      </c>
      <c r="J63" s="115"/>
      <c r="K63" s="115" t="s">
        <v>140</v>
      </c>
      <c r="L63" s="115"/>
      <c r="M63" s="646">
        <v>108</v>
      </c>
      <c r="N63" s="587" t="s">
        <v>1507</v>
      </c>
      <c r="O63" s="615"/>
      <c r="P63" s="587"/>
      <c r="Q63" s="115"/>
      <c r="R63" s="115"/>
      <c r="S63" s="115"/>
      <c r="T63" s="115"/>
      <c r="U63" s="115"/>
      <c r="V63" s="115"/>
      <c r="W63" s="115"/>
      <c r="X63" s="115"/>
      <c r="Y63" s="115"/>
      <c r="Z63" s="115"/>
      <c r="AA63" s="181">
        <f>SUM(AB63:AE63)</f>
        <v>4500</v>
      </c>
      <c r="AB63" s="55"/>
      <c r="AC63" s="55"/>
      <c r="AD63" s="55"/>
      <c r="AE63" s="55">
        <v>4500</v>
      </c>
      <c r="AF63" s="181"/>
      <c r="AG63" s="55"/>
      <c r="AH63" s="55"/>
      <c r="AI63" s="55"/>
      <c r="AJ63" s="55"/>
      <c r="AK63" s="181"/>
      <c r="AL63" s="55"/>
      <c r="AM63" s="55"/>
      <c r="AN63" s="55"/>
      <c r="AO63" s="55"/>
      <c r="AP63" s="181"/>
      <c r="AQ63" s="55"/>
      <c r="AR63" s="55"/>
      <c r="AS63" s="55"/>
      <c r="AT63" s="55"/>
      <c r="AU63" s="181"/>
      <c r="AV63" s="55"/>
      <c r="AW63" s="55"/>
      <c r="AX63" s="55"/>
      <c r="AY63" s="55"/>
      <c r="AZ63" s="181"/>
      <c r="BA63" s="55"/>
      <c r="BB63" s="55"/>
      <c r="BC63" s="55"/>
      <c r="BD63" s="55"/>
      <c r="BE63" s="181"/>
      <c r="BF63" s="55"/>
      <c r="BG63" s="55"/>
      <c r="BH63" s="55"/>
      <c r="BI63" s="55"/>
      <c r="BJ63" s="181"/>
      <c r="BK63" s="55"/>
      <c r="BL63" s="55"/>
      <c r="BM63" s="55"/>
      <c r="BN63" s="55"/>
      <c r="BO63" s="181"/>
      <c r="BP63" s="55"/>
      <c r="BQ63" s="55"/>
      <c r="BR63" s="55"/>
      <c r="BS63" s="55"/>
      <c r="BT63" s="181"/>
      <c r="BU63" s="55"/>
      <c r="BV63" s="55"/>
      <c r="BW63" s="55"/>
      <c r="BX63" s="55"/>
      <c r="BY63" s="181"/>
      <c r="BZ63" s="55"/>
      <c r="CA63" s="55"/>
      <c r="CB63" s="55"/>
      <c r="CC63" s="55"/>
      <c r="CD63" s="181"/>
      <c r="CE63" s="55"/>
      <c r="CF63" s="55"/>
      <c r="CG63" s="55"/>
      <c r="CH63" s="55"/>
      <c r="CI63" s="181">
        <f t="shared" si="88"/>
        <v>4500</v>
      </c>
      <c r="CJ63" s="180">
        <f t="shared" si="89"/>
        <v>0</v>
      </c>
      <c r="CK63" s="180">
        <f t="shared" si="90"/>
        <v>0</v>
      </c>
      <c r="CL63" s="180">
        <f t="shared" si="91"/>
        <v>0</v>
      </c>
      <c r="CM63" s="180">
        <f t="shared" si="92"/>
        <v>4500</v>
      </c>
      <c r="CN63" s="181">
        <f t="shared" si="87"/>
        <v>4500</v>
      </c>
      <c r="CO63" s="180">
        <f t="shared" si="87"/>
        <v>0</v>
      </c>
      <c r="CP63" s="180">
        <f t="shared" si="87"/>
        <v>0</v>
      </c>
      <c r="CQ63" s="180">
        <f t="shared" si="87"/>
        <v>0</v>
      </c>
      <c r="CR63" s="180">
        <f t="shared" si="87"/>
        <v>4500</v>
      </c>
      <c r="CS63" s="273">
        <f>CN63-CO63-CP63-CQ63-CR63</f>
        <v>0</v>
      </c>
      <c r="CT63" s="471"/>
    </row>
    <row r="64" spans="1:195" s="3" customFormat="1" x14ac:dyDescent="0.3">
      <c r="A64" s="364" t="s">
        <v>132</v>
      </c>
      <c r="B64" s="834" t="s">
        <v>133</v>
      </c>
      <c r="C64" s="834"/>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4"/>
      <c r="AP64" s="834"/>
      <c r="AQ64" s="834"/>
      <c r="AR64" s="834"/>
      <c r="AS64" s="834"/>
      <c r="AT64" s="834"/>
      <c r="AU64" s="834"/>
      <c r="AV64" s="834"/>
      <c r="AW64" s="834"/>
      <c r="AX64" s="834"/>
      <c r="AY64" s="834"/>
      <c r="AZ64" s="834"/>
      <c r="BA64" s="834"/>
      <c r="BB64" s="834"/>
      <c r="BC64" s="834"/>
      <c r="BD64" s="834"/>
      <c r="BE64" s="834"/>
      <c r="BF64" s="834"/>
      <c r="BG64" s="834"/>
      <c r="BH64" s="834"/>
      <c r="BI64" s="834"/>
      <c r="BJ64" s="834"/>
      <c r="BK64" s="834"/>
      <c r="BL64" s="834"/>
      <c r="BM64" s="834"/>
      <c r="BN64" s="834"/>
      <c r="BO64" s="834"/>
      <c r="BP64" s="834"/>
      <c r="BQ64" s="834"/>
      <c r="BR64" s="834"/>
      <c r="BS64" s="834"/>
      <c r="BT64" s="834"/>
      <c r="BU64" s="834"/>
      <c r="BV64" s="834"/>
      <c r="BW64" s="834"/>
      <c r="BX64" s="834"/>
      <c r="BY64" s="834"/>
      <c r="BZ64" s="834"/>
      <c r="CA64" s="834"/>
      <c r="CB64" s="834"/>
      <c r="CC64" s="834"/>
      <c r="CD64" s="834"/>
      <c r="CE64" s="834"/>
      <c r="CF64" s="834"/>
      <c r="CG64" s="834"/>
      <c r="CH64" s="834"/>
      <c r="CI64" s="834"/>
      <c r="CJ64" s="834"/>
      <c r="CK64" s="834"/>
      <c r="CL64" s="834"/>
      <c r="CM64" s="834"/>
      <c r="CN64" s="56">
        <f>CN65+CN75+CN83</f>
        <v>3459056.3</v>
      </c>
      <c r="CO64" s="56">
        <f t="shared" ref="CO64:CS64" si="93">CO65+CO75+CO83</f>
        <v>55345.9</v>
      </c>
      <c r="CP64" s="56">
        <f t="shared" si="93"/>
        <v>18208.900000000001</v>
      </c>
      <c r="CQ64" s="56">
        <f t="shared" si="93"/>
        <v>0</v>
      </c>
      <c r="CR64" s="56">
        <f t="shared" si="93"/>
        <v>1121583.3999999999</v>
      </c>
      <c r="CS64" s="273">
        <f t="shared" si="93"/>
        <v>2263918.1</v>
      </c>
      <c r="CT64" s="471"/>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row>
    <row r="65" spans="1:195" s="3" customFormat="1" x14ac:dyDescent="0.3">
      <c r="A65" s="366" t="s">
        <v>134</v>
      </c>
      <c r="B65" s="899" t="s">
        <v>135</v>
      </c>
      <c r="C65" s="900"/>
      <c r="D65" s="900"/>
      <c r="E65" s="900"/>
      <c r="F65" s="900"/>
      <c r="G65" s="900"/>
      <c r="H65" s="900"/>
      <c r="I65" s="900"/>
      <c r="J65" s="900"/>
      <c r="K65" s="900"/>
      <c r="L65" s="900"/>
      <c r="M65" s="900"/>
      <c r="N65" s="900"/>
      <c r="O65" s="900"/>
      <c r="P65" s="900"/>
      <c r="Q65" s="900"/>
      <c r="R65" s="900"/>
      <c r="S65" s="900"/>
      <c r="T65" s="900"/>
      <c r="U65" s="900"/>
      <c r="V65" s="900"/>
      <c r="W65" s="900"/>
      <c r="X65" s="900"/>
      <c r="Y65" s="900"/>
      <c r="Z65" s="900"/>
      <c r="AA65" s="900"/>
      <c r="AB65" s="900"/>
      <c r="AC65" s="900"/>
      <c r="AD65" s="900"/>
      <c r="AE65" s="900"/>
      <c r="AF65" s="900"/>
      <c r="AG65" s="900"/>
      <c r="AH65" s="900"/>
      <c r="AI65" s="900"/>
      <c r="AJ65" s="900"/>
      <c r="AK65" s="900"/>
      <c r="AL65" s="900"/>
      <c r="AM65" s="900"/>
      <c r="AN65" s="900"/>
      <c r="AO65" s="900"/>
      <c r="AP65" s="900"/>
      <c r="AQ65" s="900"/>
      <c r="AR65" s="900"/>
      <c r="AS65" s="900"/>
      <c r="AT65" s="900"/>
      <c r="AU65" s="900"/>
      <c r="AV65" s="900"/>
      <c r="AW65" s="900"/>
      <c r="AX65" s="900"/>
      <c r="AY65" s="900"/>
      <c r="AZ65" s="900"/>
      <c r="BA65" s="900"/>
      <c r="BB65" s="900"/>
      <c r="BC65" s="900"/>
      <c r="BD65" s="900"/>
      <c r="BE65" s="900"/>
      <c r="BF65" s="900"/>
      <c r="BG65" s="900"/>
      <c r="BH65" s="900"/>
      <c r="BI65" s="900"/>
      <c r="BJ65" s="900"/>
      <c r="BK65" s="900"/>
      <c r="BL65" s="900"/>
      <c r="BM65" s="900"/>
      <c r="BN65" s="900"/>
      <c r="BO65" s="900"/>
      <c r="BP65" s="900"/>
      <c r="BQ65" s="900"/>
      <c r="BR65" s="900"/>
      <c r="BS65" s="900"/>
      <c r="BT65" s="900"/>
      <c r="BU65" s="900"/>
      <c r="BV65" s="900"/>
      <c r="BW65" s="900"/>
      <c r="BX65" s="900"/>
      <c r="BY65" s="900"/>
      <c r="BZ65" s="900"/>
      <c r="CA65" s="900"/>
      <c r="CB65" s="900"/>
      <c r="CC65" s="900"/>
      <c r="CD65" s="900"/>
      <c r="CE65" s="900"/>
      <c r="CF65" s="900"/>
      <c r="CG65" s="900"/>
      <c r="CH65" s="900"/>
      <c r="CI65" s="900"/>
      <c r="CJ65" s="900"/>
      <c r="CK65" s="900"/>
      <c r="CL65" s="900"/>
      <c r="CM65" s="901"/>
      <c r="CN65" s="277">
        <f>SUM(CN66:CN74)</f>
        <v>805247.3</v>
      </c>
      <c r="CO65" s="277">
        <f t="shared" ref="CO65:CS65" si="94">SUM(CO66:CO74)</f>
        <v>55039.3</v>
      </c>
      <c r="CP65" s="277">
        <f t="shared" si="94"/>
        <v>13400</v>
      </c>
      <c r="CQ65" s="277">
        <f t="shared" si="94"/>
        <v>0</v>
      </c>
      <c r="CR65" s="277">
        <f t="shared" si="94"/>
        <v>358808</v>
      </c>
      <c r="CS65" s="273">
        <f t="shared" si="94"/>
        <v>378000</v>
      </c>
      <c r="CT65" s="471"/>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row>
    <row r="66" spans="1:195" s="6" customFormat="1" ht="144" customHeight="1" x14ac:dyDescent="0.3">
      <c r="A66" s="728" t="s">
        <v>136</v>
      </c>
      <c r="B66" s="817" t="s">
        <v>137</v>
      </c>
      <c r="C66" s="817" t="s">
        <v>138</v>
      </c>
      <c r="D66" s="728" t="s">
        <v>139</v>
      </c>
      <c r="E66" s="728" t="s">
        <v>52</v>
      </c>
      <c r="F66" s="192" t="s">
        <v>1189</v>
      </c>
      <c r="G66" s="187" t="s">
        <v>62</v>
      </c>
      <c r="H66" s="533" t="s">
        <v>140</v>
      </c>
      <c r="I66" s="124">
        <f>26100/770000*100</f>
        <v>3.3896103896103895</v>
      </c>
      <c r="J66" s="633">
        <f>30300/770000*100</f>
        <v>3.9350649350649349</v>
      </c>
      <c r="K66" s="124">
        <v>3</v>
      </c>
      <c r="L66" s="633">
        <v>4.5</v>
      </c>
      <c r="M66" s="705">
        <v>5</v>
      </c>
      <c r="N66" s="592" t="s">
        <v>1508</v>
      </c>
      <c r="O66" s="615" t="s">
        <v>1741</v>
      </c>
      <c r="P66" s="545"/>
      <c r="Q66" s="124">
        <f>34500/770000*100</f>
        <v>4.4805194805194803</v>
      </c>
      <c r="R66" s="124">
        <f>41700/770000*100</f>
        <v>5.4155844155844157</v>
      </c>
      <c r="S66" s="124">
        <f>49900/770000*100</f>
        <v>6.4805194805194812</v>
      </c>
      <c r="T66" s="124">
        <f>59100/770000*100</f>
        <v>7.6753246753246751</v>
      </c>
      <c r="U66" s="124">
        <f>69300/770000*100</f>
        <v>9</v>
      </c>
      <c r="V66" s="124">
        <f>80500/770000*100</f>
        <v>10.454545454545453</v>
      </c>
      <c r="W66" s="124">
        <f>92700/770000*100</f>
        <v>12.038961038961039</v>
      </c>
      <c r="X66" s="124">
        <f>106200/770000*100</f>
        <v>13.792207792207792</v>
      </c>
      <c r="Y66" s="124">
        <f>120700/770000*100</f>
        <v>15.675324675324676</v>
      </c>
      <c r="Z66" s="124">
        <f>136200/770000*100</f>
        <v>17.688311688311689</v>
      </c>
      <c r="AA66" s="165">
        <f t="shared" ref="AA66:AA70" si="95">SUM(AB66:AE66)</f>
        <v>0</v>
      </c>
      <c r="AB66" s="180"/>
      <c r="AC66" s="180"/>
      <c r="AD66" s="180"/>
      <c r="AE66" s="180"/>
      <c r="AF66" s="165">
        <f t="shared" ref="AF66:AF69" si="96">SUM(AG66:AJ66)</f>
        <v>0</v>
      </c>
      <c r="AG66" s="180"/>
      <c r="AH66" s="180"/>
      <c r="AI66" s="180"/>
      <c r="AJ66" s="180"/>
      <c r="AK66" s="165">
        <f t="shared" ref="AK66" si="97">SUM(AL66:AO66)</f>
        <v>0</v>
      </c>
      <c r="AL66" s="180"/>
      <c r="AM66" s="180"/>
      <c r="AN66" s="180"/>
      <c r="AO66" s="180"/>
      <c r="AP66" s="165">
        <f t="shared" ref="AP66" si="98">SUM(AQ66:AT66)</f>
        <v>0</v>
      </c>
      <c r="AQ66" s="180"/>
      <c r="AR66" s="180"/>
      <c r="AS66" s="180"/>
      <c r="AT66" s="180"/>
      <c r="AU66" s="165">
        <f t="shared" ref="AU66" si="99">SUM(AV66:AY66)</f>
        <v>0</v>
      </c>
      <c r="AV66" s="180"/>
      <c r="AW66" s="180"/>
      <c r="AX66" s="180"/>
      <c r="AY66" s="180"/>
      <c r="AZ66" s="165">
        <f t="shared" ref="AZ66" si="100">SUM(BA66:BD66)</f>
        <v>0</v>
      </c>
      <c r="BA66" s="180"/>
      <c r="BB66" s="180"/>
      <c r="BC66" s="180"/>
      <c r="BD66" s="180"/>
      <c r="BE66" s="165">
        <f t="shared" ref="BE66" si="101">SUM(BF66:BI66)</f>
        <v>0</v>
      </c>
      <c r="BF66" s="180"/>
      <c r="BG66" s="180"/>
      <c r="BH66" s="180"/>
      <c r="BI66" s="180"/>
      <c r="BJ66" s="165">
        <f t="shared" ref="BJ66" si="102">SUM(BK66:BN66)</f>
        <v>0</v>
      </c>
      <c r="BK66" s="180"/>
      <c r="BL66" s="180"/>
      <c r="BM66" s="180"/>
      <c r="BN66" s="180"/>
      <c r="BO66" s="165">
        <f t="shared" ref="BO66" si="103">SUM(BP66:BS66)</f>
        <v>0</v>
      </c>
      <c r="BP66" s="180"/>
      <c r="BQ66" s="180"/>
      <c r="BR66" s="180"/>
      <c r="BS66" s="180"/>
      <c r="BT66" s="165">
        <f t="shared" ref="BT66" si="104">SUM(BU66:BX66)</f>
        <v>0</v>
      </c>
      <c r="BU66" s="180"/>
      <c r="BV66" s="180"/>
      <c r="BW66" s="180"/>
      <c r="BX66" s="180"/>
      <c r="BY66" s="165">
        <f t="shared" ref="BY66" si="105">SUM(BZ66:CC66)</f>
        <v>0</v>
      </c>
      <c r="BZ66" s="180"/>
      <c r="CA66" s="180"/>
      <c r="CB66" s="180"/>
      <c r="CC66" s="180"/>
      <c r="CD66" s="165">
        <f t="shared" ref="CD66" si="106">SUM(CE66:CH66)</f>
        <v>0</v>
      </c>
      <c r="CE66" s="180"/>
      <c r="CF66" s="180"/>
      <c r="CG66" s="180"/>
      <c r="CH66" s="180"/>
      <c r="CI66" s="181">
        <f t="shared" ref="CI66" si="107">AA66+AF66+AK66</f>
        <v>0</v>
      </c>
      <c r="CJ66" s="180">
        <f t="shared" ref="CJ66" si="108">AB66+AG66+AL66</f>
        <v>0</v>
      </c>
      <c r="CK66" s="180">
        <f t="shared" ref="CK66" si="109">AC66+AH66+AM66</f>
        <v>0</v>
      </c>
      <c r="CL66" s="180">
        <f t="shared" ref="CL66" si="110">AD66+AI66+AN66</f>
        <v>0</v>
      </c>
      <c r="CM66" s="180">
        <f t="shared" ref="CM66" si="111">AE66+AJ66+AO66</f>
        <v>0</v>
      </c>
      <c r="CN66" s="181">
        <f t="shared" ref="CN66:CR71" si="112">AA66+AF66+AK66+AP66+AU66+AZ66+BE66+BJ66+BO66+BT66+BY66+CD66</f>
        <v>0</v>
      </c>
      <c r="CO66" s="180">
        <f t="shared" si="112"/>
        <v>0</v>
      </c>
      <c r="CP66" s="180">
        <f t="shared" si="112"/>
        <v>0</v>
      </c>
      <c r="CQ66" s="180">
        <f t="shared" si="112"/>
        <v>0</v>
      </c>
      <c r="CR66" s="180">
        <f t="shared" si="112"/>
        <v>0</v>
      </c>
      <c r="CS66" s="273">
        <f>CN66-CO66-CP66-CQ66-CR66</f>
        <v>0</v>
      </c>
      <c r="CT66" s="471"/>
    </row>
    <row r="67" spans="1:195" s="6" customFormat="1" ht="120" x14ac:dyDescent="0.35">
      <c r="A67" s="729"/>
      <c r="B67" s="818"/>
      <c r="C67" s="818"/>
      <c r="D67" s="729"/>
      <c r="E67" s="729"/>
      <c r="F67" s="285" t="s">
        <v>1411</v>
      </c>
      <c r="G67" s="142" t="s">
        <v>62</v>
      </c>
      <c r="H67" s="142" t="s">
        <v>140</v>
      </c>
      <c r="I67" s="142">
        <v>100</v>
      </c>
      <c r="J67" s="142">
        <v>100</v>
      </c>
      <c r="K67" s="142">
        <v>100</v>
      </c>
      <c r="L67" s="142">
        <v>100</v>
      </c>
      <c r="M67" s="647">
        <v>100</v>
      </c>
      <c r="N67" s="595"/>
      <c r="O67" s="442"/>
      <c r="P67" s="442"/>
      <c r="Q67" s="142">
        <v>100</v>
      </c>
      <c r="R67" s="142">
        <v>100</v>
      </c>
      <c r="S67" s="142">
        <v>100</v>
      </c>
      <c r="T67" s="142">
        <v>100</v>
      </c>
      <c r="U67" s="142">
        <v>100</v>
      </c>
      <c r="V67" s="142">
        <v>100</v>
      </c>
      <c r="W67" s="142">
        <v>100</v>
      </c>
      <c r="X67" s="142">
        <v>100</v>
      </c>
      <c r="Y67" s="142">
        <v>100</v>
      </c>
      <c r="Z67" s="142">
        <v>100</v>
      </c>
      <c r="AA67" s="165"/>
      <c r="AB67" s="144"/>
      <c r="AC67" s="144"/>
      <c r="AD67" s="144"/>
      <c r="AE67" s="144"/>
      <c r="AF67" s="165"/>
      <c r="AG67" s="144"/>
      <c r="AH67" s="144"/>
      <c r="AI67" s="144"/>
      <c r="AJ67" s="144"/>
      <c r="AK67" s="153"/>
      <c r="AL67" s="144"/>
      <c r="AM67" s="144"/>
      <c r="AN67" s="144"/>
      <c r="AO67" s="144"/>
      <c r="AP67" s="165"/>
      <c r="AQ67" s="144"/>
      <c r="AR67" s="144"/>
      <c r="AS67" s="144"/>
      <c r="AT67" s="144"/>
      <c r="AU67" s="165"/>
      <c r="AV67" s="144"/>
      <c r="AW67" s="144"/>
      <c r="AX67" s="144"/>
      <c r="AY67" s="144"/>
      <c r="AZ67" s="165"/>
      <c r="BA67" s="144"/>
      <c r="BB67" s="144"/>
      <c r="BC67" s="144"/>
      <c r="BD67" s="144"/>
      <c r="BE67" s="153"/>
      <c r="BF67" s="144"/>
      <c r="BG67" s="144"/>
      <c r="BH67" s="144"/>
      <c r="BI67" s="144"/>
      <c r="BJ67" s="153"/>
      <c r="BK67" s="144"/>
      <c r="BL67" s="144"/>
      <c r="BM67" s="144"/>
      <c r="BN67" s="144"/>
      <c r="BO67" s="153"/>
      <c r="BP67" s="144"/>
      <c r="BQ67" s="144"/>
      <c r="BR67" s="144"/>
      <c r="BS67" s="144"/>
      <c r="BT67" s="153"/>
      <c r="BU67" s="144"/>
      <c r="BV67" s="144"/>
      <c r="BW67" s="144"/>
      <c r="BX67" s="144"/>
      <c r="BY67" s="153"/>
      <c r="BZ67" s="144"/>
      <c r="CA67" s="144"/>
      <c r="CB67" s="144"/>
      <c r="CC67" s="144"/>
      <c r="CD67" s="153"/>
      <c r="CE67" s="144"/>
      <c r="CF67" s="144"/>
      <c r="CG67" s="144"/>
      <c r="CH67" s="144"/>
      <c r="CI67" s="181">
        <f t="shared" ref="CI67" si="113">AA67+AF67+AK67</f>
        <v>0</v>
      </c>
      <c r="CJ67" s="180">
        <f t="shared" ref="CJ67" si="114">AB67+AG67+AL67</f>
        <v>0</v>
      </c>
      <c r="CK67" s="180">
        <f t="shared" ref="CK67" si="115">AC67+AH67+AM67</f>
        <v>0</v>
      </c>
      <c r="CL67" s="180">
        <f t="shared" ref="CL67" si="116">AD67+AI67+AN67</f>
        <v>0</v>
      </c>
      <c r="CM67" s="180">
        <f t="shared" ref="CM67" si="117">AE67+AJ67+AO67</f>
        <v>0</v>
      </c>
      <c r="CN67" s="181">
        <f t="shared" ref="CN67" si="118">AA67+AF67+AK67+AP67+AU67+AZ67+BE67+BJ67+BO67+BT67+BY67+CD67</f>
        <v>0</v>
      </c>
      <c r="CO67" s="180">
        <f t="shared" ref="CO67" si="119">AB67+AG67+AL67+AQ67+AV67+BA67+BF67+BK67+BP67+BU67+BZ67+CE67</f>
        <v>0</v>
      </c>
      <c r="CP67" s="180">
        <f t="shared" ref="CP67" si="120">AC67+AH67+AM67+AR67+AW67+BB67+BG67+BL67+BQ67+BV67+CA67+CF67</f>
        <v>0</v>
      </c>
      <c r="CQ67" s="180">
        <f t="shared" ref="CQ67" si="121">AD67+AI67+AN67+AS67+AX67+BC67+BH67+BM67+BR67+BW67+CB67+CG67</f>
        <v>0</v>
      </c>
      <c r="CR67" s="180">
        <f t="shared" ref="CR67" si="122">AE67+AJ67+AO67+AT67+AY67+BD67+BI67+BN67+BS67+BX67+CC67+CH67</f>
        <v>0</v>
      </c>
      <c r="CS67" s="273">
        <f>CN67-CO67-CP67-CQ67-CR67</f>
        <v>0</v>
      </c>
      <c r="CT67" s="471"/>
    </row>
    <row r="68" spans="1:195" s="6" customFormat="1" ht="144" x14ac:dyDescent="0.3">
      <c r="A68" s="402" t="s">
        <v>141</v>
      </c>
      <c r="B68" s="415" t="s">
        <v>1135</v>
      </c>
      <c r="C68" s="58" t="s">
        <v>1136</v>
      </c>
      <c r="D68" s="402" t="s">
        <v>139</v>
      </c>
      <c r="E68" s="399" t="s">
        <v>376</v>
      </c>
      <c r="F68" s="414" t="s">
        <v>1142</v>
      </c>
      <c r="G68" s="398" t="s">
        <v>62</v>
      </c>
      <c r="H68" s="530"/>
      <c r="I68" s="402"/>
      <c r="J68" s="637"/>
      <c r="K68" s="452"/>
      <c r="L68" s="637"/>
      <c r="M68" s="643"/>
      <c r="N68" s="592"/>
      <c r="O68" s="615" t="s">
        <v>1620</v>
      </c>
      <c r="P68" s="545"/>
      <c r="Q68" s="402"/>
      <c r="R68" s="402">
        <v>30</v>
      </c>
      <c r="S68" s="402">
        <v>60</v>
      </c>
      <c r="T68" s="402">
        <v>100</v>
      </c>
      <c r="U68" s="402"/>
      <c r="V68" s="402"/>
      <c r="W68" s="402"/>
      <c r="X68" s="402"/>
      <c r="Y68" s="402"/>
      <c r="Z68" s="402"/>
      <c r="AA68" s="420"/>
      <c r="AB68" s="395"/>
      <c r="AC68" s="395"/>
      <c r="AD68" s="395"/>
      <c r="AE68" s="395"/>
      <c r="AF68" s="420">
        <v>8000</v>
      </c>
      <c r="AG68" s="395"/>
      <c r="AH68" s="395"/>
      <c r="AI68" s="395"/>
      <c r="AJ68" s="395"/>
      <c r="AK68" s="396"/>
      <c r="AL68" s="395"/>
      <c r="AM68" s="395"/>
      <c r="AN68" s="395"/>
      <c r="AO68" s="395"/>
      <c r="AP68" s="420">
        <v>8000</v>
      </c>
      <c r="AQ68" s="395"/>
      <c r="AR68" s="395"/>
      <c r="AS68" s="395"/>
      <c r="AT68" s="395"/>
      <c r="AU68" s="420">
        <v>6000</v>
      </c>
      <c r="AV68" s="395"/>
      <c r="AW68" s="395"/>
      <c r="AX68" s="395"/>
      <c r="AY68" s="395"/>
      <c r="AZ68" s="420">
        <v>6000</v>
      </c>
      <c r="BA68" s="395"/>
      <c r="BB68" s="395"/>
      <c r="BC68" s="395"/>
      <c r="BD68" s="395"/>
      <c r="BE68" s="396"/>
      <c r="BF68" s="395"/>
      <c r="BG68" s="395"/>
      <c r="BH68" s="395"/>
      <c r="BI68" s="395"/>
      <c r="BJ68" s="396"/>
      <c r="BK68" s="395"/>
      <c r="BL68" s="395"/>
      <c r="BM68" s="395"/>
      <c r="BN68" s="395"/>
      <c r="BO68" s="396"/>
      <c r="BP68" s="395"/>
      <c r="BQ68" s="395"/>
      <c r="BR68" s="395"/>
      <c r="BS68" s="395"/>
      <c r="BT68" s="396"/>
      <c r="BU68" s="395"/>
      <c r="BV68" s="395"/>
      <c r="BW68" s="395"/>
      <c r="BX68" s="395"/>
      <c r="BY68" s="396"/>
      <c r="BZ68" s="395"/>
      <c r="CA68" s="395"/>
      <c r="CB68" s="395"/>
      <c r="CC68" s="395"/>
      <c r="CD68" s="396"/>
      <c r="CE68" s="395"/>
      <c r="CF68" s="395"/>
      <c r="CG68" s="395"/>
      <c r="CH68" s="395"/>
      <c r="CI68" s="410">
        <f t="shared" ref="CI68" si="123">AA68+AF68+AK68</f>
        <v>8000</v>
      </c>
      <c r="CJ68" s="419">
        <f t="shared" ref="CJ68" si="124">AB68+AG68+AL68</f>
        <v>0</v>
      </c>
      <c r="CK68" s="419">
        <f t="shared" ref="CK68" si="125">AC68+AH68+AM68</f>
        <v>0</v>
      </c>
      <c r="CL68" s="419">
        <f t="shared" ref="CL68" si="126">AD68+AI68+AN68</f>
        <v>0</v>
      </c>
      <c r="CM68" s="419">
        <f t="shared" ref="CM68" si="127">AE68+AJ68+AO68</f>
        <v>0</v>
      </c>
      <c r="CN68" s="410">
        <f t="shared" si="112"/>
        <v>28000</v>
      </c>
      <c r="CO68" s="419">
        <f t="shared" si="112"/>
        <v>0</v>
      </c>
      <c r="CP68" s="419">
        <f t="shared" si="112"/>
        <v>0</v>
      </c>
      <c r="CQ68" s="419">
        <f t="shared" si="112"/>
        <v>0</v>
      </c>
      <c r="CR68" s="419">
        <f t="shared" si="112"/>
        <v>0</v>
      </c>
      <c r="CS68" s="410">
        <f t="shared" ref="CS68:CS70" si="128">CN68-CO68-CP68-CQ68-CR68</f>
        <v>28000</v>
      </c>
      <c r="CT68" s="471"/>
    </row>
    <row r="69" spans="1:195" s="11" customFormat="1" ht="120" x14ac:dyDescent="0.25">
      <c r="A69" s="402" t="s">
        <v>1083</v>
      </c>
      <c r="B69" s="407" t="s">
        <v>1078</v>
      </c>
      <c r="C69" s="406" t="s">
        <v>1079</v>
      </c>
      <c r="D69" s="399" t="s">
        <v>1126</v>
      </c>
      <c r="E69" s="399" t="s">
        <v>353</v>
      </c>
      <c r="F69" s="400" t="s">
        <v>1081</v>
      </c>
      <c r="G69" s="398" t="s">
        <v>1090</v>
      </c>
      <c r="H69" s="530"/>
      <c r="I69" s="59"/>
      <c r="J69" s="59">
        <f t="shared" ref="J69:Z69" si="129">533000/180928</f>
        <v>2.9459232401839404</v>
      </c>
      <c r="K69" s="59">
        <v>1.1000000000000001</v>
      </c>
      <c r="L69" s="59">
        <f t="shared" si="129"/>
        <v>2.9459232401839404</v>
      </c>
      <c r="M69" s="648">
        <v>0</v>
      </c>
      <c r="N69" s="596" t="s">
        <v>1509</v>
      </c>
      <c r="O69" s="443" t="s">
        <v>1742</v>
      </c>
      <c r="P69" s="443"/>
      <c r="Q69" s="59">
        <f t="shared" si="129"/>
        <v>2.9459232401839404</v>
      </c>
      <c r="R69" s="59">
        <f t="shared" si="129"/>
        <v>2.9459232401839404</v>
      </c>
      <c r="S69" s="59">
        <f t="shared" si="129"/>
        <v>2.9459232401839404</v>
      </c>
      <c r="T69" s="59">
        <f t="shared" si="129"/>
        <v>2.9459232401839404</v>
      </c>
      <c r="U69" s="59">
        <f t="shared" si="129"/>
        <v>2.9459232401839404</v>
      </c>
      <c r="V69" s="59">
        <f t="shared" si="129"/>
        <v>2.9459232401839404</v>
      </c>
      <c r="W69" s="59">
        <f t="shared" si="129"/>
        <v>2.9459232401839404</v>
      </c>
      <c r="X69" s="59">
        <f t="shared" si="129"/>
        <v>2.9459232401839404</v>
      </c>
      <c r="Y69" s="59">
        <f t="shared" si="129"/>
        <v>2.9459232401839404</v>
      </c>
      <c r="Z69" s="59">
        <f t="shared" si="129"/>
        <v>2.9459232401839404</v>
      </c>
      <c r="AA69" s="420"/>
      <c r="AB69" s="395"/>
      <c r="AC69" s="395"/>
      <c r="AD69" s="395"/>
      <c r="AE69" s="395"/>
      <c r="AF69" s="420">
        <f t="shared" si="96"/>
        <v>16000</v>
      </c>
      <c r="AG69" s="395">
        <v>2600</v>
      </c>
      <c r="AH69" s="395">
        <v>13400</v>
      </c>
      <c r="AI69" s="395"/>
      <c r="AJ69" s="395"/>
      <c r="AK69" s="396"/>
      <c r="AL69" s="395"/>
      <c r="AM69" s="395"/>
      <c r="AN69" s="395"/>
      <c r="AO69" s="395"/>
      <c r="AP69" s="396"/>
      <c r="AQ69" s="395"/>
      <c r="AR69" s="395"/>
      <c r="AS69" s="395"/>
      <c r="AT69" s="395"/>
      <c r="AU69" s="396"/>
      <c r="AV69" s="395"/>
      <c r="AW69" s="395"/>
      <c r="AX69" s="395"/>
      <c r="AY69" s="395"/>
      <c r="AZ69" s="396"/>
      <c r="BA69" s="395"/>
      <c r="BB69" s="395"/>
      <c r="BC69" s="395"/>
      <c r="BD69" s="395"/>
      <c r="BE69" s="396"/>
      <c r="BF69" s="395"/>
      <c r="BG69" s="395"/>
      <c r="BH69" s="395"/>
      <c r="BI69" s="395"/>
      <c r="BJ69" s="396"/>
      <c r="BK69" s="395"/>
      <c r="BL69" s="395"/>
      <c r="BM69" s="395"/>
      <c r="BN69" s="395"/>
      <c r="BO69" s="396"/>
      <c r="BP69" s="395"/>
      <c r="BQ69" s="395"/>
      <c r="BR69" s="395"/>
      <c r="BS69" s="395"/>
      <c r="BT69" s="396"/>
      <c r="BU69" s="395"/>
      <c r="BV69" s="395"/>
      <c r="BW69" s="395"/>
      <c r="BX69" s="395"/>
      <c r="BY69" s="396"/>
      <c r="BZ69" s="395"/>
      <c r="CA69" s="395"/>
      <c r="CB69" s="395"/>
      <c r="CC69" s="395"/>
      <c r="CD69" s="396"/>
      <c r="CE69" s="395"/>
      <c r="CF69" s="395"/>
      <c r="CG69" s="395"/>
      <c r="CH69" s="395"/>
      <c r="CI69" s="410">
        <f t="shared" ref="CI69:CI70" si="130">AA69+AF69+AK69</f>
        <v>16000</v>
      </c>
      <c r="CJ69" s="419">
        <f t="shared" ref="CJ69:CJ70" si="131">AB69+AG69+AL69</f>
        <v>2600</v>
      </c>
      <c r="CK69" s="419">
        <f t="shared" ref="CK69:CK70" si="132">AC69+AH69+AM69</f>
        <v>13400</v>
      </c>
      <c r="CL69" s="419">
        <f t="shared" ref="CL69:CL70" si="133">AD69+AI69+AN69</f>
        <v>0</v>
      </c>
      <c r="CM69" s="419">
        <f t="shared" ref="CM69:CM70" si="134">AE69+AJ69+AO69</f>
        <v>0</v>
      </c>
      <c r="CN69" s="410">
        <f t="shared" si="112"/>
        <v>16000</v>
      </c>
      <c r="CO69" s="419">
        <f t="shared" si="112"/>
        <v>2600</v>
      </c>
      <c r="CP69" s="419">
        <f t="shared" si="112"/>
        <v>13400</v>
      </c>
      <c r="CQ69" s="419">
        <f t="shared" si="112"/>
        <v>0</v>
      </c>
      <c r="CR69" s="419">
        <f t="shared" si="112"/>
        <v>0</v>
      </c>
      <c r="CS69" s="410">
        <f t="shared" si="128"/>
        <v>0</v>
      </c>
      <c r="CT69" s="471"/>
    </row>
    <row r="70" spans="1:195" s="11" customFormat="1" ht="72" x14ac:dyDescent="0.25">
      <c r="A70" s="187" t="s">
        <v>1084</v>
      </c>
      <c r="B70" s="168" t="s">
        <v>1080</v>
      </c>
      <c r="C70" s="167" t="s">
        <v>1273</v>
      </c>
      <c r="D70" s="187" t="s">
        <v>139</v>
      </c>
      <c r="E70" s="187" t="s">
        <v>52</v>
      </c>
      <c r="F70" s="158" t="s">
        <v>1082</v>
      </c>
      <c r="G70" s="187" t="s">
        <v>62</v>
      </c>
      <c r="H70" s="530"/>
      <c r="I70" s="60">
        <f>25000/770200*100</f>
        <v>3.2459101532069594</v>
      </c>
      <c r="J70" s="60">
        <f t="shared" ref="J70:Z70" si="135">25000/770200*100</f>
        <v>3.2459101532069594</v>
      </c>
      <c r="K70" s="60">
        <v>2.6</v>
      </c>
      <c r="L70" s="60">
        <f t="shared" si="135"/>
        <v>3.2459101532069594</v>
      </c>
      <c r="M70" s="649">
        <v>2.2999999999999998</v>
      </c>
      <c r="N70" s="592" t="s">
        <v>1510</v>
      </c>
      <c r="O70" s="615" t="s">
        <v>1621</v>
      </c>
      <c r="P70" s="545"/>
      <c r="Q70" s="60">
        <f t="shared" si="135"/>
        <v>3.2459101532069594</v>
      </c>
      <c r="R70" s="60">
        <f t="shared" si="135"/>
        <v>3.2459101532069594</v>
      </c>
      <c r="S70" s="60">
        <f t="shared" si="135"/>
        <v>3.2459101532069594</v>
      </c>
      <c r="T70" s="60">
        <f t="shared" si="135"/>
        <v>3.2459101532069594</v>
      </c>
      <c r="U70" s="60">
        <f t="shared" si="135"/>
        <v>3.2459101532069594</v>
      </c>
      <c r="V70" s="60">
        <f t="shared" si="135"/>
        <v>3.2459101532069594</v>
      </c>
      <c r="W70" s="60">
        <f t="shared" si="135"/>
        <v>3.2459101532069594</v>
      </c>
      <c r="X70" s="60">
        <f t="shared" si="135"/>
        <v>3.2459101532069594</v>
      </c>
      <c r="Y70" s="60">
        <f t="shared" si="135"/>
        <v>3.2459101532069594</v>
      </c>
      <c r="Z70" s="60">
        <f t="shared" si="135"/>
        <v>3.2459101532069594</v>
      </c>
      <c r="AA70" s="165">
        <f t="shared" si="95"/>
        <v>3570</v>
      </c>
      <c r="AB70" s="144">
        <v>3570</v>
      </c>
      <c r="AC70" s="144"/>
      <c r="AD70" s="144"/>
      <c r="AE70" s="144"/>
      <c r="AF70" s="165">
        <f t="shared" ref="AF70" si="136">SUM(AG70:AJ70)</f>
        <v>3570</v>
      </c>
      <c r="AG70" s="144">
        <v>3570</v>
      </c>
      <c r="AH70" s="144"/>
      <c r="AI70" s="144"/>
      <c r="AJ70" s="144"/>
      <c r="AK70" s="165">
        <f t="shared" ref="AK70" si="137">SUM(AL70:AO70)</f>
        <v>3570</v>
      </c>
      <c r="AL70" s="144">
        <v>3570</v>
      </c>
      <c r="AM70" s="144"/>
      <c r="AN70" s="144"/>
      <c r="AO70" s="144"/>
      <c r="AP70" s="165">
        <f t="shared" ref="AP70" si="138">SUM(AQ70:AT70)</f>
        <v>3570</v>
      </c>
      <c r="AQ70" s="144">
        <v>3570</v>
      </c>
      <c r="AR70" s="144"/>
      <c r="AS70" s="144"/>
      <c r="AT70" s="144"/>
      <c r="AU70" s="165">
        <f t="shared" ref="AU70" si="139">SUM(AV70:AY70)</f>
        <v>3570</v>
      </c>
      <c r="AV70" s="144">
        <v>3570</v>
      </c>
      <c r="AW70" s="144"/>
      <c r="AX70" s="144"/>
      <c r="AY70" s="144"/>
      <c r="AZ70" s="165">
        <f t="shared" ref="AZ70" si="140">SUM(BA70:BD70)</f>
        <v>3570</v>
      </c>
      <c r="BA70" s="144">
        <v>3570</v>
      </c>
      <c r="BB70" s="144"/>
      <c r="BC70" s="144"/>
      <c r="BD70" s="144"/>
      <c r="BE70" s="165">
        <f t="shared" ref="BE70" si="141">SUM(BF70:BI70)</f>
        <v>3570</v>
      </c>
      <c r="BF70" s="144">
        <v>3570</v>
      </c>
      <c r="BG70" s="144"/>
      <c r="BH70" s="144"/>
      <c r="BI70" s="144"/>
      <c r="BJ70" s="165">
        <f t="shared" ref="BJ70" si="142">SUM(BK70:BN70)</f>
        <v>3570</v>
      </c>
      <c r="BK70" s="144">
        <v>3570</v>
      </c>
      <c r="BL70" s="144"/>
      <c r="BM70" s="144"/>
      <c r="BN70" s="144"/>
      <c r="BO70" s="165">
        <f t="shared" ref="BO70" si="143">SUM(BP70:BS70)</f>
        <v>3570</v>
      </c>
      <c r="BP70" s="144">
        <v>3570</v>
      </c>
      <c r="BQ70" s="144"/>
      <c r="BR70" s="144"/>
      <c r="BS70" s="144"/>
      <c r="BT70" s="165">
        <f t="shared" ref="BT70" si="144">SUM(BU70:BX70)</f>
        <v>3570</v>
      </c>
      <c r="BU70" s="144">
        <v>3570</v>
      </c>
      <c r="BV70" s="144"/>
      <c r="BW70" s="144"/>
      <c r="BX70" s="144"/>
      <c r="BY70" s="165">
        <f t="shared" ref="BY70" si="145">SUM(BZ70:CC70)</f>
        <v>3570</v>
      </c>
      <c r="BZ70" s="144">
        <v>3570</v>
      </c>
      <c r="CA70" s="144"/>
      <c r="CB70" s="144"/>
      <c r="CC70" s="144"/>
      <c r="CD70" s="165">
        <f t="shared" ref="CD70" si="146">SUM(CE70:CH70)</f>
        <v>3570</v>
      </c>
      <c r="CE70" s="144">
        <v>3570</v>
      </c>
      <c r="CF70" s="144"/>
      <c r="CG70" s="144"/>
      <c r="CH70" s="144"/>
      <c r="CI70" s="181">
        <f t="shared" si="130"/>
        <v>10710</v>
      </c>
      <c r="CJ70" s="180">
        <f t="shared" si="131"/>
        <v>10710</v>
      </c>
      <c r="CK70" s="180">
        <f t="shared" si="132"/>
        <v>0</v>
      </c>
      <c r="CL70" s="180">
        <f t="shared" si="133"/>
        <v>0</v>
      </c>
      <c r="CM70" s="180">
        <f t="shared" si="134"/>
        <v>0</v>
      </c>
      <c r="CN70" s="181">
        <f t="shared" si="112"/>
        <v>42840</v>
      </c>
      <c r="CO70" s="180">
        <f t="shared" si="112"/>
        <v>42840</v>
      </c>
      <c r="CP70" s="180">
        <f t="shared" si="112"/>
        <v>0</v>
      </c>
      <c r="CQ70" s="180">
        <f t="shared" si="112"/>
        <v>0</v>
      </c>
      <c r="CR70" s="180">
        <f t="shared" si="112"/>
        <v>0</v>
      </c>
      <c r="CS70" s="273">
        <f t="shared" si="128"/>
        <v>0</v>
      </c>
      <c r="CT70" s="471"/>
    </row>
    <row r="71" spans="1:195" s="4" customFormat="1" ht="72" customHeight="1" x14ac:dyDescent="0.3">
      <c r="A71" s="862" t="s">
        <v>1092</v>
      </c>
      <c r="B71" s="839" t="s">
        <v>142</v>
      </c>
      <c r="C71" s="843" t="s">
        <v>1215</v>
      </c>
      <c r="D71" s="714" t="s">
        <v>1127</v>
      </c>
      <c r="E71" s="853" t="s">
        <v>143</v>
      </c>
      <c r="F71" s="61" t="s">
        <v>145</v>
      </c>
      <c r="G71" s="183" t="s">
        <v>146</v>
      </c>
      <c r="H71" s="527">
        <v>0.35</v>
      </c>
      <c r="I71" s="59">
        <v>0.34</v>
      </c>
      <c r="J71" s="59">
        <v>0.36</v>
      </c>
      <c r="K71" s="59">
        <v>0.12</v>
      </c>
      <c r="L71" s="59">
        <v>0.36</v>
      </c>
      <c r="M71" s="648">
        <v>0.23</v>
      </c>
      <c r="N71" s="802" t="s">
        <v>1511</v>
      </c>
      <c r="O71" s="817" t="s">
        <v>1656</v>
      </c>
      <c r="P71" s="544"/>
      <c r="Q71" s="59">
        <v>0.36</v>
      </c>
      <c r="R71" s="59">
        <v>0.36</v>
      </c>
      <c r="S71" s="59">
        <v>0.36</v>
      </c>
      <c r="T71" s="59">
        <v>0.37</v>
      </c>
      <c r="U71" s="59">
        <v>0.38</v>
      </c>
      <c r="V71" s="59">
        <v>0.38</v>
      </c>
      <c r="W71" s="59">
        <v>0.38</v>
      </c>
      <c r="X71" s="59">
        <v>0.39</v>
      </c>
      <c r="Y71" s="59">
        <v>0.39</v>
      </c>
      <c r="Z71" s="59">
        <v>0.4</v>
      </c>
      <c r="AA71" s="767">
        <f t="shared" ref="AA71" si="147">SUM(AB71:AE71)</f>
        <v>8499</v>
      </c>
      <c r="AB71" s="765">
        <v>5499</v>
      </c>
      <c r="AC71" s="765"/>
      <c r="AD71" s="765"/>
      <c r="AE71" s="765">
        <v>3000</v>
      </c>
      <c r="AF71" s="767">
        <f>SUM(AG71:AJ71)+175000+175000</f>
        <v>704100.3</v>
      </c>
      <c r="AG71" s="765">
        <v>4100.3</v>
      </c>
      <c r="AH71" s="765"/>
      <c r="AI71" s="765"/>
      <c r="AJ71" s="765">
        <f>175000+175000</f>
        <v>350000</v>
      </c>
      <c r="AK71" s="767"/>
      <c r="AL71" s="765"/>
      <c r="AM71" s="765"/>
      <c r="AN71" s="765"/>
      <c r="AO71" s="765"/>
      <c r="AP71" s="767"/>
      <c r="AQ71" s="765"/>
      <c r="AR71" s="765"/>
      <c r="AS71" s="765"/>
      <c r="AT71" s="765"/>
      <c r="AU71" s="767"/>
      <c r="AV71" s="765"/>
      <c r="AW71" s="765"/>
      <c r="AX71" s="765"/>
      <c r="AY71" s="765"/>
      <c r="AZ71" s="767"/>
      <c r="BA71" s="765"/>
      <c r="BB71" s="765"/>
      <c r="BC71" s="765"/>
      <c r="BD71" s="765"/>
      <c r="BE71" s="767"/>
      <c r="BF71" s="765"/>
      <c r="BG71" s="765"/>
      <c r="BH71" s="765"/>
      <c r="BI71" s="765"/>
      <c r="BJ71" s="767"/>
      <c r="BK71" s="765"/>
      <c r="BL71" s="765"/>
      <c r="BM71" s="765"/>
      <c r="BN71" s="765"/>
      <c r="BO71" s="767"/>
      <c r="BP71" s="765"/>
      <c r="BQ71" s="765"/>
      <c r="BR71" s="765"/>
      <c r="BS71" s="765"/>
      <c r="BT71" s="767"/>
      <c r="BU71" s="765"/>
      <c r="BV71" s="765"/>
      <c r="BW71" s="765"/>
      <c r="BX71" s="765"/>
      <c r="BY71" s="767"/>
      <c r="BZ71" s="765"/>
      <c r="CA71" s="765"/>
      <c r="CB71" s="765"/>
      <c r="CC71" s="765"/>
      <c r="CD71" s="767"/>
      <c r="CE71" s="765"/>
      <c r="CF71" s="765"/>
      <c r="CG71" s="765"/>
      <c r="CH71" s="765"/>
      <c r="CI71" s="816">
        <f>AA71+AF71+AK71</f>
        <v>712599.3</v>
      </c>
      <c r="CJ71" s="828">
        <f t="shared" ref="CJ71" si="148">AB71+AG71+AL71</f>
        <v>9599.2999999999993</v>
      </c>
      <c r="CK71" s="828">
        <f t="shared" ref="CK71" si="149">AC71+AH71+AM71</f>
        <v>0</v>
      </c>
      <c r="CL71" s="828">
        <f t="shared" ref="CL71" si="150">AD71+AI71+AN71</f>
        <v>0</v>
      </c>
      <c r="CM71" s="828">
        <f t="shared" ref="CM71" si="151">AE71+AJ71+AO71</f>
        <v>353000</v>
      </c>
      <c r="CN71" s="855">
        <f t="shared" si="112"/>
        <v>712599.3</v>
      </c>
      <c r="CO71" s="835">
        <f t="shared" si="112"/>
        <v>9599.2999999999993</v>
      </c>
      <c r="CP71" s="835">
        <f t="shared" si="112"/>
        <v>0</v>
      </c>
      <c r="CQ71" s="835">
        <f t="shared" si="112"/>
        <v>0</v>
      </c>
      <c r="CR71" s="835">
        <f t="shared" si="112"/>
        <v>353000</v>
      </c>
      <c r="CS71" s="819">
        <f>CN71-CO71-CP71-CQ71-CR71</f>
        <v>350000</v>
      </c>
      <c r="CT71" s="14"/>
    </row>
    <row r="72" spans="1:195" s="4" customFormat="1" ht="72" x14ac:dyDescent="0.3">
      <c r="A72" s="869"/>
      <c r="B72" s="856"/>
      <c r="C72" s="839"/>
      <c r="D72" s="748"/>
      <c r="E72" s="854"/>
      <c r="F72" s="62" t="s">
        <v>1412</v>
      </c>
      <c r="G72" s="184" t="s">
        <v>31</v>
      </c>
      <c r="H72" s="526">
        <v>3.4</v>
      </c>
      <c r="I72" s="63">
        <v>3.7</v>
      </c>
      <c r="J72" s="63">
        <v>3.9</v>
      </c>
      <c r="K72" s="60">
        <v>3</v>
      </c>
      <c r="L72" s="63">
        <v>4</v>
      </c>
      <c r="M72" s="649">
        <v>4.5999999999999996</v>
      </c>
      <c r="N72" s="803"/>
      <c r="O72" s="818"/>
      <c r="P72" s="547"/>
      <c r="Q72" s="63">
        <v>4</v>
      </c>
      <c r="R72" s="63">
        <v>4.0999999999999996</v>
      </c>
      <c r="S72" s="63">
        <v>4.2</v>
      </c>
      <c r="T72" s="63">
        <v>4.3</v>
      </c>
      <c r="U72" s="63">
        <v>4.4000000000000004</v>
      </c>
      <c r="V72" s="63">
        <v>4.5</v>
      </c>
      <c r="W72" s="63">
        <v>4.5999999999999996</v>
      </c>
      <c r="X72" s="63">
        <v>4.7</v>
      </c>
      <c r="Y72" s="63">
        <v>4.8</v>
      </c>
      <c r="Z72" s="63">
        <v>4.9000000000000004</v>
      </c>
      <c r="AA72" s="798"/>
      <c r="AB72" s="769"/>
      <c r="AC72" s="769"/>
      <c r="AD72" s="769"/>
      <c r="AE72" s="769"/>
      <c r="AF72" s="798"/>
      <c r="AG72" s="769"/>
      <c r="AH72" s="769"/>
      <c r="AI72" s="769"/>
      <c r="AJ72" s="769"/>
      <c r="AK72" s="798"/>
      <c r="AL72" s="769"/>
      <c r="AM72" s="769"/>
      <c r="AN72" s="769"/>
      <c r="AO72" s="769"/>
      <c r="AP72" s="798"/>
      <c r="AQ72" s="769"/>
      <c r="AR72" s="769"/>
      <c r="AS72" s="769"/>
      <c r="AT72" s="769"/>
      <c r="AU72" s="798"/>
      <c r="AV72" s="769"/>
      <c r="AW72" s="769"/>
      <c r="AX72" s="769"/>
      <c r="AY72" s="769"/>
      <c r="AZ72" s="798"/>
      <c r="BA72" s="769"/>
      <c r="BB72" s="769"/>
      <c r="BC72" s="769"/>
      <c r="BD72" s="769"/>
      <c r="BE72" s="798"/>
      <c r="BF72" s="769"/>
      <c r="BG72" s="769"/>
      <c r="BH72" s="769"/>
      <c r="BI72" s="769"/>
      <c r="BJ72" s="798"/>
      <c r="BK72" s="769"/>
      <c r="BL72" s="769"/>
      <c r="BM72" s="769"/>
      <c r="BN72" s="769"/>
      <c r="BO72" s="798"/>
      <c r="BP72" s="769"/>
      <c r="BQ72" s="769"/>
      <c r="BR72" s="769"/>
      <c r="BS72" s="769"/>
      <c r="BT72" s="798"/>
      <c r="BU72" s="769"/>
      <c r="BV72" s="769"/>
      <c r="BW72" s="769"/>
      <c r="BX72" s="769"/>
      <c r="BY72" s="798"/>
      <c r="BZ72" s="769"/>
      <c r="CA72" s="769"/>
      <c r="CB72" s="769"/>
      <c r="CC72" s="769"/>
      <c r="CD72" s="798"/>
      <c r="CE72" s="769"/>
      <c r="CF72" s="769"/>
      <c r="CG72" s="769"/>
      <c r="CH72" s="769"/>
      <c r="CI72" s="767"/>
      <c r="CJ72" s="828"/>
      <c r="CK72" s="828"/>
      <c r="CL72" s="828"/>
      <c r="CM72" s="828"/>
      <c r="CN72" s="855"/>
      <c r="CO72" s="835"/>
      <c r="CP72" s="835"/>
      <c r="CQ72" s="835"/>
      <c r="CR72" s="835"/>
      <c r="CS72" s="819">
        <f t="shared" ref="CS72" si="152">CN72-CO72-CP72-CQ72-CR72</f>
        <v>0</v>
      </c>
      <c r="CT72" s="14"/>
    </row>
    <row r="73" spans="1:195" s="4" customFormat="1" ht="96" x14ac:dyDescent="0.3">
      <c r="A73" s="64" t="s">
        <v>1250</v>
      </c>
      <c r="B73" s="323" t="s">
        <v>1089</v>
      </c>
      <c r="C73" s="317" t="s">
        <v>1743</v>
      </c>
      <c r="D73" s="316" t="s">
        <v>139</v>
      </c>
      <c r="E73" s="316" t="s">
        <v>1474</v>
      </c>
      <c r="F73" s="324" t="s">
        <v>1085</v>
      </c>
      <c r="G73" s="316" t="s">
        <v>31</v>
      </c>
      <c r="H73" s="533"/>
      <c r="I73" s="59"/>
      <c r="J73" s="59"/>
      <c r="K73" s="59"/>
      <c r="L73" s="59"/>
      <c r="M73" s="650">
        <f>1328/183972*1000</f>
        <v>7.2184897701824191</v>
      </c>
      <c r="N73" s="443"/>
      <c r="O73" s="443" t="s">
        <v>1685</v>
      </c>
      <c r="P73" s="443"/>
      <c r="Q73" s="59"/>
      <c r="R73" s="59">
        <f>500/181620*1000</f>
        <v>2.7530007708402158</v>
      </c>
      <c r="S73" s="59">
        <f>550/181967*1000</f>
        <v>3.0225260624179109</v>
      </c>
      <c r="T73" s="59">
        <f>560/182314*1000</f>
        <v>3.0716236822185903</v>
      </c>
      <c r="U73" s="59">
        <f>600/182662*1000</f>
        <v>3.2847554499567506</v>
      </c>
      <c r="V73" s="59">
        <f>600/183011*1000</f>
        <v>3.2784914567976786</v>
      </c>
      <c r="W73" s="59">
        <f>650/183361*1000</f>
        <v>3.5449195848626478</v>
      </c>
      <c r="X73" s="59">
        <f>650/183361*1000</f>
        <v>3.5449195848626478</v>
      </c>
      <c r="Y73" s="59">
        <f>700/184062*1000</f>
        <v>3.8030663580749966</v>
      </c>
      <c r="Z73" s="59">
        <f>700/184413*1000</f>
        <v>3.7958278429394889</v>
      </c>
      <c r="AA73" s="326"/>
      <c r="AB73" s="313"/>
      <c r="AC73" s="313"/>
      <c r="AD73" s="313"/>
      <c r="AE73" s="313"/>
      <c r="AF73" s="326"/>
      <c r="AG73" s="313"/>
      <c r="AH73" s="313"/>
      <c r="AI73" s="313"/>
      <c r="AJ73" s="313"/>
      <c r="AK73" s="326"/>
      <c r="AL73" s="313"/>
      <c r="AM73" s="313"/>
      <c r="AN73" s="313"/>
      <c r="AO73" s="313"/>
      <c r="AP73" s="326">
        <f t="shared" ref="AP73" si="153">SUM(AQ73:AT73)</f>
        <v>312</v>
      </c>
      <c r="AQ73" s="313"/>
      <c r="AR73" s="313"/>
      <c r="AS73" s="313"/>
      <c r="AT73" s="313">
        <v>312</v>
      </c>
      <c r="AU73" s="326">
        <f t="shared" ref="AU73" si="154">SUM(AV73:AY73)</f>
        <v>312</v>
      </c>
      <c r="AV73" s="313"/>
      <c r="AW73" s="313"/>
      <c r="AX73" s="313"/>
      <c r="AY73" s="313">
        <v>312</v>
      </c>
      <c r="AZ73" s="326">
        <f t="shared" ref="AZ73" si="155">SUM(BA73:BD73)</f>
        <v>312</v>
      </c>
      <c r="BA73" s="313"/>
      <c r="BB73" s="313"/>
      <c r="BC73" s="313"/>
      <c r="BD73" s="313">
        <v>312</v>
      </c>
      <c r="BE73" s="326">
        <f t="shared" ref="BE73" si="156">SUM(BF73:BI73)</f>
        <v>312</v>
      </c>
      <c r="BF73" s="313"/>
      <c r="BG73" s="313"/>
      <c r="BH73" s="313"/>
      <c r="BI73" s="313">
        <v>312</v>
      </c>
      <c r="BJ73" s="326">
        <f t="shared" ref="BJ73" si="157">SUM(BK73:BN73)</f>
        <v>312</v>
      </c>
      <c r="BK73" s="313"/>
      <c r="BL73" s="313"/>
      <c r="BM73" s="313"/>
      <c r="BN73" s="313">
        <v>312</v>
      </c>
      <c r="BO73" s="326">
        <f t="shared" ref="BO73" si="158">SUM(BP73:BS73)</f>
        <v>312</v>
      </c>
      <c r="BP73" s="313"/>
      <c r="BQ73" s="313"/>
      <c r="BR73" s="313"/>
      <c r="BS73" s="313">
        <v>312</v>
      </c>
      <c r="BT73" s="326">
        <f t="shared" ref="BT73" si="159">SUM(BU73:BX73)</f>
        <v>312</v>
      </c>
      <c r="BU73" s="313"/>
      <c r="BV73" s="313"/>
      <c r="BW73" s="313"/>
      <c r="BX73" s="313">
        <v>312</v>
      </c>
      <c r="BY73" s="326">
        <f t="shared" ref="BY73" si="160">SUM(BZ73:CC73)</f>
        <v>312</v>
      </c>
      <c r="BZ73" s="313"/>
      <c r="CA73" s="313"/>
      <c r="CB73" s="313"/>
      <c r="CC73" s="313">
        <v>312</v>
      </c>
      <c r="CD73" s="326">
        <f t="shared" ref="CD73" si="161">SUM(CE73:CH73)</f>
        <v>312</v>
      </c>
      <c r="CE73" s="313"/>
      <c r="CF73" s="313"/>
      <c r="CG73" s="313"/>
      <c r="CH73" s="313">
        <v>312</v>
      </c>
      <c r="CI73" s="318">
        <f t="shared" ref="CI73:CI74" si="162">AA73+AF73+AK73</f>
        <v>0</v>
      </c>
      <c r="CJ73" s="319">
        <f t="shared" ref="CJ73:CJ74" si="163">AB73+AG73+AL73</f>
        <v>0</v>
      </c>
      <c r="CK73" s="319">
        <f t="shared" ref="CK73:CK74" si="164">AC73+AH73+AM73</f>
        <v>0</v>
      </c>
      <c r="CL73" s="319">
        <f t="shared" ref="CL73:CL74" si="165">AD73+AI73+AN73</f>
        <v>0</v>
      </c>
      <c r="CM73" s="319">
        <f t="shared" ref="CM73:CM74" si="166">AE73+AJ73+AO73</f>
        <v>0</v>
      </c>
      <c r="CN73" s="318">
        <f t="shared" ref="CN73:CR74" si="167">AA73+AF73+AK73+AP73+AU73+AZ73+BE73+BJ73+BO73+BT73+BY73+CD73</f>
        <v>2808</v>
      </c>
      <c r="CO73" s="319">
        <f t="shared" si="167"/>
        <v>0</v>
      </c>
      <c r="CP73" s="319">
        <f t="shared" si="167"/>
        <v>0</v>
      </c>
      <c r="CQ73" s="319">
        <f t="shared" si="167"/>
        <v>0</v>
      </c>
      <c r="CR73" s="319">
        <f t="shared" si="167"/>
        <v>2808</v>
      </c>
      <c r="CS73" s="318">
        <f>CN73-CO73-CP73-CQ73-CR73</f>
        <v>0</v>
      </c>
      <c r="CT73" s="14"/>
    </row>
    <row r="74" spans="1:195" s="4" customFormat="1" ht="240" x14ac:dyDescent="0.3">
      <c r="A74" s="64" t="s">
        <v>1093</v>
      </c>
      <c r="B74" s="189" t="s">
        <v>1091</v>
      </c>
      <c r="C74" s="188" t="s">
        <v>1743</v>
      </c>
      <c r="D74" s="187" t="s">
        <v>1468</v>
      </c>
      <c r="E74" s="187" t="s">
        <v>52</v>
      </c>
      <c r="F74" s="192" t="s">
        <v>1085</v>
      </c>
      <c r="G74" s="187" t="s">
        <v>31</v>
      </c>
      <c r="H74" s="533"/>
      <c r="I74" s="59">
        <f>252/180583*1000</f>
        <v>1.3954801947027129</v>
      </c>
      <c r="J74" s="59">
        <f>400/180928*1000</f>
        <v>2.2108241952599927</v>
      </c>
      <c r="K74" s="59">
        <v>2.2999999999999998</v>
      </c>
      <c r="L74" s="59">
        <v>2.48</v>
      </c>
      <c r="M74" s="648">
        <f>(710+192)/183972*1000</f>
        <v>4.9029200095666727</v>
      </c>
      <c r="N74" s="444"/>
      <c r="O74" s="617" t="s">
        <v>1686</v>
      </c>
      <c r="P74" s="444"/>
      <c r="Q74" s="59">
        <f>450/181274*1000</f>
        <v>2.4824299127287976</v>
      </c>
      <c r="R74" s="59">
        <f>500/181620*1000</f>
        <v>2.7530007708402158</v>
      </c>
      <c r="S74" s="59">
        <f>550/181967*1000</f>
        <v>3.0225260624179109</v>
      </c>
      <c r="T74" s="59">
        <f>600/182314*1000</f>
        <v>3.2910253738056321</v>
      </c>
      <c r="U74" s="59">
        <f>650/182662*1000</f>
        <v>3.5584850707864799</v>
      </c>
      <c r="V74" s="59">
        <f>700/183011*1000</f>
        <v>3.824906699597292</v>
      </c>
      <c r="W74" s="59">
        <f>750/183361*1000</f>
        <v>4.090291828687671</v>
      </c>
      <c r="X74" s="59">
        <f>800/183361*1000</f>
        <v>4.3629779506001825</v>
      </c>
      <c r="Y74" s="59">
        <f>850/184062*1000</f>
        <v>4.6180091490910673</v>
      </c>
      <c r="Z74" s="59">
        <f>900/184413*1000</f>
        <v>4.8803500837793434</v>
      </c>
      <c r="AA74" s="165">
        <f t="shared" ref="AA74" si="168">SUM(AB74:AE74)</f>
        <v>250</v>
      </c>
      <c r="AB74" s="164"/>
      <c r="AC74" s="164"/>
      <c r="AD74" s="164"/>
      <c r="AE74" s="164">
        <v>250</v>
      </c>
      <c r="AF74" s="165">
        <f t="shared" ref="AF74" si="169">SUM(AG74:AJ74)</f>
        <v>250</v>
      </c>
      <c r="AG74" s="164"/>
      <c r="AH74" s="164"/>
      <c r="AI74" s="164"/>
      <c r="AJ74" s="164">
        <v>250</v>
      </c>
      <c r="AK74" s="165">
        <f t="shared" ref="AK74" si="170">SUM(AL74:AO74)</f>
        <v>250</v>
      </c>
      <c r="AL74" s="164"/>
      <c r="AM74" s="164"/>
      <c r="AN74" s="164"/>
      <c r="AO74" s="164">
        <v>250</v>
      </c>
      <c r="AP74" s="165">
        <f t="shared" ref="AP74" si="171">SUM(AQ74:AT74)</f>
        <v>250</v>
      </c>
      <c r="AQ74" s="164"/>
      <c r="AR74" s="164"/>
      <c r="AS74" s="164"/>
      <c r="AT74" s="164">
        <v>250</v>
      </c>
      <c r="AU74" s="165">
        <f t="shared" ref="AU74" si="172">SUM(AV74:AY74)</f>
        <v>250</v>
      </c>
      <c r="AV74" s="164"/>
      <c r="AW74" s="164"/>
      <c r="AX74" s="164"/>
      <c r="AY74" s="164">
        <v>250</v>
      </c>
      <c r="AZ74" s="165">
        <f t="shared" ref="AZ74" si="173">SUM(BA74:BD74)</f>
        <v>250</v>
      </c>
      <c r="BA74" s="164"/>
      <c r="BB74" s="164"/>
      <c r="BC74" s="164"/>
      <c r="BD74" s="164">
        <v>250</v>
      </c>
      <c r="BE74" s="165">
        <f t="shared" ref="BE74" si="174">SUM(BF74:BI74)</f>
        <v>250</v>
      </c>
      <c r="BF74" s="164"/>
      <c r="BG74" s="164"/>
      <c r="BH74" s="164"/>
      <c r="BI74" s="164">
        <v>250</v>
      </c>
      <c r="BJ74" s="165">
        <f t="shared" ref="BJ74" si="175">SUM(BK74:BN74)</f>
        <v>250</v>
      </c>
      <c r="BK74" s="164"/>
      <c r="BL74" s="164"/>
      <c r="BM74" s="164"/>
      <c r="BN74" s="164">
        <v>250</v>
      </c>
      <c r="BO74" s="165">
        <f t="shared" ref="BO74" si="176">SUM(BP74:BS74)</f>
        <v>250</v>
      </c>
      <c r="BP74" s="164"/>
      <c r="BQ74" s="164"/>
      <c r="BR74" s="164"/>
      <c r="BS74" s="164">
        <v>250</v>
      </c>
      <c r="BT74" s="165">
        <f t="shared" ref="BT74" si="177">SUM(BU74:BX74)</f>
        <v>250</v>
      </c>
      <c r="BU74" s="164"/>
      <c r="BV74" s="164"/>
      <c r="BW74" s="164"/>
      <c r="BX74" s="164">
        <v>250</v>
      </c>
      <c r="BY74" s="165">
        <f t="shared" ref="BY74" si="178">SUM(BZ74:CC74)</f>
        <v>250</v>
      </c>
      <c r="BZ74" s="164"/>
      <c r="CA74" s="164"/>
      <c r="CB74" s="164"/>
      <c r="CC74" s="164">
        <v>250</v>
      </c>
      <c r="CD74" s="165">
        <f t="shared" ref="CD74" si="179">SUM(CE74:CH74)</f>
        <v>250</v>
      </c>
      <c r="CE74" s="164"/>
      <c r="CF74" s="164"/>
      <c r="CG74" s="164"/>
      <c r="CH74" s="164">
        <v>250</v>
      </c>
      <c r="CI74" s="181">
        <f t="shared" si="162"/>
        <v>750</v>
      </c>
      <c r="CJ74" s="180">
        <f t="shared" si="163"/>
        <v>0</v>
      </c>
      <c r="CK74" s="180">
        <f t="shared" si="164"/>
        <v>0</v>
      </c>
      <c r="CL74" s="180">
        <f t="shared" si="165"/>
        <v>0</v>
      </c>
      <c r="CM74" s="180">
        <f t="shared" si="166"/>
        <v>750</v>
      </c>
      <c r="CN74" s="181">
        <f t="shared" si="167"/>
        <v>3000</v>
      </c>
      <c r="CO74" s="180">
        <f t="shared" si="167"/>
        <v>0</v>
      </c>
      <c r="CP74" s="180">
        <f t="shared" si="167"/>
        <v>0</v>
      </c>
      <c r="CQ74" s="180">
        <f t="shared" si="167"/>
        <v>0</v>
      </c>
      <c r="CR74" s="180">
        <f t="shared" si="167"/>
        <v>3000</v>
      </c>
      <c r="CS74" s="273">
        <f>CN74-CO74-CP74-CQ74-CR74</f>
        <v>0</v>
      </c>
      <c r="CT74" s="14"/>
    </row>
    <row r="75" spans="1:195" s="6" customFormat="1" ht="154.5" customHeight="1" x14ac:dyDescent="0.3">
      <c r="A75" s="47" t="s">
        <v>148</v>
      </c>
      <c r="B75" s="894" t="s">
        <v>149</v>
      </c>
      <c r="C75" s="895"/>
      <c r="D75" s="895"/>
      <c r="E75" s="895"/>
      <c r="F75" s="324" t="s">
        <v>147</v>
      </c>
      <c r="G75" s="311" t="s">
        <v>62</v>
      </c>
      <c r="H75" s="142">
        <v>87.6</v>
      </c>
      <c r="I75" s="359">
        <v>86.44</v>
      </c>
      <c r="J75" s="142">
        <v>94.6</v>
      </c>
      <c r="K75" s="359">
        <v>13.7</v>
      </c>
      <c r="L75" s="142">
        <v>94.8</v>
      </c>
      <c r="M75" s="651">
        <v>18.399999999999999</v>
      </c>
      <c r="N75" s="610" t="s">
        <v>1512</v>
      </c>
      <c r="O75" s="615" t="s">
        <v>1687</v>
      </c>
      <c r="P75" s="610"/>
      <c r="Q75" s="142">
        <v>94.8</v>
      </c>
      <c r="R75" s="359">
        <v>95</v>
      </c>
      <c r="S75" s="142">
        <v>95.5</v>
      </c>
      <c r="T75" s="359">
        <v>96</v>
      </c>
      <c r="U75" s="142">
        <v>96.4</v>
      </c>
      <c r="V75" s="142">
        <v>96.8</v>
      </c>
      <c r="W75" s="359">
        <v>97</v>
      </c>
      <c r="X75" s="142">
        <v>97.5</v>
      </c>
      <c r="Y75" s="142">
        <v>97.8</v>
      </c>
      <c r="Z75" s="142">
        <v>98.1</v>
      </c>
      <c r="AA75" s="360"/>
      <c r="AB75" s="360"/>
      <c r="AC75" s="360"/>
      <c r="AD75" s="360"/>
      <c r="AE75" s="360"/>
      <c r="AF75" s="360"/>
      <c r="AG75" s="360"/>
      <c r="AH75" s="360"/>
      <c r="AI75" s="360"/>
      <c r="AJ75" s="360"/>
      <c r="AK75" s="360"/>
      <c r="AL75" s="360"/>
      <c r="AM75" s="360"/>
      <c r="AN75" s="360"/>
      <c r="AO75" s="360"/>
      <c r="AP75" s="361"/>
      <c r="AQ75" s="360"/>
      <c r="AR75" s="360"/>
      <c r="AS75" s="360"/>
      <c r="AT75" s="360"/>
      <c r="AU75" s="361"/>
      <c r="AV75" s="360"/>
      <c r="AW75" s="360"/>
      <c r="AX75" s="360"/>
      <c r="AY75" s="360"/>
      <c r="AZ75" s="361"/>
      <c r="BA75" s="360"/>
      <c r="BB75" s="360"/>
      <c r="BC75" s="360"/>
      <c r="BD75" s="360"/>
      <c r="BE75" s="361"/>
      <c r="BF75" s="360"/>
      <c r="BG75" s="360"/>
      <c r="BH75" s="360"/>
      <c r="BI75" s="360"/>
      <c r="BJ75" s="361"/>
      <c r="BK75" s="360"/>
      <c r="BL75" s="360"/>
      <c r="BM75" s="360"/>
      <c r="BN75" s="360"/>
      <c r="BO75" s="361"/>
      <c r="BP75" s="360"/>
      <c r="BQ75" s="360"/>
      <c r="BR75" s="360"/>
      <c r="BS75" s="360"/>
      <c r="BT75" s="361"/>
      <c r="BU75" s="360"/>
      <c r="BV75" s="360"/>
      <c r="BW75" s="360"/>
      <c r="BX75" s="360"/>
      <c r="BY75" s="361"/>
      <c r="BZ75" s="360"/>
      <c r="CA75" s="360"/>
      <c r="CB75" s="360"/>
      <c r="CC75" s="360"/>
      <c r="CD75" s="361"/>
      <c r="CE75" s="360"/>
      <c r="CF75" s="360"/>
      <c r="CG75" s="360"/>
      <c r="CH75" s="360"/>
      <c r="CI75" s="360"/>
      <c r="CJ75" s="360"/>
      <c r="CK75" s="360"/>
      <c r="CL75" s="360"/>
      <c r="CM75" s="360"/>
      <c r="CN75" s="318">
        <f>SUM(CN76:CN82)</f>
        <v>2650478.2999999998</v>
      </c>
      <c r="CO75" s="318">
        <f t="shared" ref="CO75:CS75" si="180">SUM(CO76:CO82)</f>
        <v>0</v>
      </c>
      <c r="CP75" s="318">
        <f t="shared" si="180"/>
        <v>4808.8999999999996</v>
      </c>
      <c r="CQ75" s="318">
        <f t="shared" si="180"/>
        <v>0</v>
      </c>
      <c r="CR75" s="318">
        <f t="shared" si="180"/>
        <v>761048.2</v>
      </c>
      <c r="CS75" s="318">
        <f t="shared" si="180"/>
        <v>1884621.2</v>
      </c>
      <c r="CT75" s="471"/>
    </row>
    <row r="76" spans="1:195" s="6" customFormat="1" ht="152.25" customHeight="1" x14ac:dyDescent="0.35">
      <c r="A76" s="53" t="s">
        <v>150</v>
      </c>
      <c r="B76" s="188" t="s">
        <v>151</v>
      </c>
      <c r="C76" s="188" t="s">
        <v>1275</v>
      </c>
      <c r="D76" s="187" t="s">
        <v>1224</v>
      </c>
      <c r="E76" s="43" t="s">
        <v>152</v>
      </c>
      <c r="F76" s="192" t="s">
        <v>153</v>
      </c>
      <c r="G76" s="187" t="s">
        <v>74</v>
      </c>
      <c r="H76" s="532"/>
      <c r="I76" s="100">
        <v>1352</v>
      </c>
      <c r="J76" s="100">
        <v>1352</v>
      </c>
      <c r="K76" s="100">
        <v>1360</v>
      </c>
      <c r="L76" s="100">
        <v>1352</v>
      </c>
      <c r="M76" s="652">
        <v>601</v>
      </c>
      <c r="N76" s="441"/>
      <c r="O76" s="442"/>
      <c r="P76" s="441"/>
      <c r="Q76" s="100">
        <v>1352</v>
      </c>
      <c r="R76" s="100">
        <v>1352</v>
      </c>
      <c r="S76" s="100">
        <v>1352</v>
      </c>
      <c r="T76" s="100">
        <v>1352</v>
      </c>
      <c r="U76" s="100">
        <v>1352</v>
      </c>
      <c r="V76" s="100">
        <v>1352</v>
      </c>
      <c r="W76" s="100">
        <v>1352</v>
      </c>
      <c r="X76" s="100">
        <v>1352</v>
      </c>
      <c r="Y76" s="100">
        <v>1352</v>
      </c>
      <c r="Z76" s="100">
        <v>1352</v>
      </c>
      <c r="AA76" s="181">
        <f>SUM(AB76:AE76)</f>
        <v>1801.1</v>
      </c>
      <c r="AB76" s="55"/>
      <c r="AC76" s="55">
        <v>752.9</v>
      </c>
      <c r="AD76" s="55"/>
      <c r="AE76" s="55">
        <v>1048.2</v>
      </c>
      <c r="AF76" s="181">
        <f>SUM(AG76:AJ76)</f>
        <v>1950</v>
      </c>
      <c r="AG76" s="55"/>
      <c r="AH76" s="55">
        <v>1950</v>
      </c>
      <c r="AI76" s="55"/>
      <c r="AJ76" s="55"/>
      <c r="AK76" s="181">
        <f>SUM(AL76:AO76)</f>
        <v>2106</v>
      </c>
      <c r="AL76" s="55"/>
      <c r="AM76" s="55">
        <v>2106</v>
      </c>
      <c r="AN76" s="55"/>
      <c r="AO76" s="55"/>
      <c r="AP76" s="181"/>
      <c r="AQ76" s="55"/>
      <c r="AR76" s="55"/>
      <c r="AS76" s="55"/>
      <c r="AT76" s="55"/>
      <c r="AU76" s="181"/>
      <c r="AV76" s="55"/>
      <c r="AW76" s="55"/>
      <c r="AX76" s="55"/>
      <c r="AY76" s="55"/>
      <c r="AZ76" s="181"/>
      <c r="BA76" s="55"/>
      <c r="BB76" s="55"/>
      <c r="BC76" s="55"/>
      <c r="BD76" s="55"/>
      <c r="BE76" s="181"/>
      <c r="BF76" s="55"/>
      <c r="BG76" s="55"/>
      <c r="BH76" s="55"/>
      <c r="BI76" s="55"/>
      <c r="BJ76" s="181"/>
      <c r="BK76" s="55"/>
      <c r="BL76" s="55"/>
      <c r="BM76" s="55"/>
      <c r="BN76" s="55"/>
      <c r="BO76" s="181"/>
      <c r="BP76" s="55"/>
      <c r="BQ76" s="55"/>
      <c r="BR76" s="55"/>
      <c r="BS76" s="55"/>
      <c r="BT76" s="181"/>
      <c r="BU76" s="55"/>
      <c r="BV76" s="55"/>
      <c r="BW76" s="55"/>
      <c r="BX76" s="55"/>
      <c r="BY76" s="181"/>
      <c r="BZ76" s="55"/>
      <c r="CA76" s="55"/>
      <c r="CB76" s="55"/>
      <c r="CC76" s="55"/>
      <c r="CD76" s="181"/>
      <c r="CE76" s="55"/>
      <c r="CF76" s="55"/>
      <c r="CG76" s="55"/>
      <c r="CH76" s="55"/>
      <c r="CI76" s="181">
        <f t="shared" ref="CI76" si="181">AA76+AF76+AK76</f>
        <v>5857.1</v>
      </c>
      <c r="CJ76" s="180">
        <f t="shared" ref="CJ76" si="182">AB76+AG76+AL76</f>
        <v>0</v>
      </c>
      <c r="CK76" s="180">
        <f t="shared" ref="CK76" si="183">AC76+AH76+AM76</f>
        <v>4808.8999999999996</v>
      </c>
      <c r="CL76" s="180">
        <f t="shared" ref="CL76" si="184">AD76+AI76+AN76</f>
        <v>0</v>
      </c>
      <c r="CM76" s="180">
        <f t="shared" ref="CM76" si="185">AE76+AJ76+AO76</f>
        <v>1048.2</v>
      </c>
      <c r="CN76" s="181">
        <f t="shared" ref="CN76:CR82" si="186">AA76+AF76+AK76+AP76+AU76+AZ76+BE76+BJ76+BO76+BT76+BY76+CD76</f>
        <v>5857.1</v>
      </c>
      <c r="CO76" s="180">
        <f t="shared" si="186"/>
        <v>0</v>
      </c>
      <c r="CP76" s="180">
        <f t="shared" si="186"/>
        <v>4808.8999999999996</v>
      </c>
      <c r="CQ76" s="180">
        <f t="shared" si="186"/>
        <v>0</v>
      </c>
      <c r="CR76" s="180">
        <f t="shared" si="186"/>
        <v>1048.2</v>
      </c>
      <c r="CS76" s="273">
        <f>CN76-CO76-CP76-CQ76-CR76</f>
        <v>0</v>
      </c>
      <c r="CT76" s="471"/>
    </row>
    <row r="77" spans="1:195" s="4" customFormat="1" ht="144" x14ac:dyDescent="0.3">
      <c r="A77" s="475" t="s">
        <v>154</v>
      </c>
      <c r="B77" s="498" t="s">
        <v>155</v>
      </c>
      <c r="C77" s="498" t="s">
        <v>1276</v>
      </c>
      <c r="D77" s="476" t="s">
        <v>1133</v>
      </c>
      <c r="E77" s="502" t="s">
        <v>52</v>
      </c>
      <c r="F77" s="481" t="s">
        <v>153</v>
      </c>
      <c r="G77" s="503" t="s">
        <v>74</v>
      </c>
      <c r="H77" s="528"/>
      <c r="I77" s="65">
        <v>4500</v>
      </c>
      <c r="J77" s="65">
        <v>4500</v>
      </c>
      <c r="K77" s="65" t="s">
        <v>140</v>
      </c>
      <c r="L77" s="65">
        <v>4650</v>
      </c>
      <c r="M77" s="653" t="s">
        <v>140</v>
      </c>
      <c r="N77" s="817" t="s">
        <v>1513</v>
      </c>
      <c r="O77" s="817" t="s">
        <v>1713</v>
      </c>
      <c r="P77" s="585"/>
      <c r="Q77" s="65">
        <v>4650</v>
      </c>
      <c r="R77" s="65">
        <v>4800</v>
      </c>
      <c r="S77" s="65">
        <v>4950</v>
      </c>
      <c r="T77" s="65">
        <v>5100</v>
      </c>
      <c r="U77" s="65">
        <v>5250</v>
      </c>
      <c r="V77" s="65">
        <v>5400</v>
      </c>
      <c r="W77" s="65">
        <v>5550</v>
      </c>
      <c r="X77" s="65">
        <v>5700</v>
      </c>
      <c r="Y77" s="65">
        <v>5850</v>
      </c>
      <c r="Z77" s="65">
        <v>6000</v>
      </c>
      <c r="AA77" s="501">
        <f>SUM(AB77:AE77)</f>
        <v>4000</v>
      </c>
      <c r="AB77" s="55"/>
      <c r="AC77" s="205"/>
      <c r="AD77" s="205"/>
      <c r="AE77" s="55">
        <v>4000</v>
      </c>
      <c r="AF77" s="494">
        <f>SUM(AG77:AJ77)</f>
        <v>0</v>
      </c>
      <c r="AG77" s="205"/>
      <c r="AH77" s="205"/>
      <c r="AI77" s="205"/>
      <c r="AJ77" s="205"/>
      <c r="AK77" s="494">
        <f>SUM(AL77:AO77)</f>
        <v>0</v>
      </c>
      <c r="AL77" s="205"/>
      <c r="AM77" s="205"/>
      <c r="AN77" s="205"/>
      <c r="AO77" s="205"/>
      <c r="AP77" s="494">
        <f>SUM(AQ77:AT77)</f>
        <v>0</v>
      </c>
      <c r="AQ77" s="205"/>
      <c r="AR77" s="205"/>
      <c r="AS77" s="205"/>
      <c r="AT77" s="205"/>
      <c r="AU77" s="494">
        <f>SUM(AV77:AY77)</f>
        <v>0</v>
      </c>
      <c r="AV77" s="205"/>
      <c r="AW77" s="205"/>
      <c r="AX77" s="205"/>
      <c r="AY77" s="205"/>
      <c r="AZ77" s="494">
        <f>SUM(BA77:BD77)</f>
        <v>0</v>
      </c>
      <c r="BA77" s="205"/>
      <c r="BB77" s="205"/>
      <c r="BC77" s="205"/>
      <c r="BD77" s="205"/>
      <c r="BE77" s="494">
        <f>SUM(BF77:BI77)</f>
        <v>0</v>
      </c>
      <c r="BF77" s="205"/>
      <c r="BG77" s="205"/>
      <c r="BH77" s="205"/>
      <c r="BI77" s="205"/>
      <c r="BJ77" s="494">
        <f>SUM(BK77:BN77)</f>
        <v>0</v>
      </c>
      <c r="BK77" s="205"/>
      <c r="BL77" s="205"/>
      <c r="BM77" s="205"/>
      <c r="BN77" s="205"/>
      <c r="BO77" s="494">
        <f>SUM(BP77:BS77)</f>
        <v>0</v>
      </c>
      <c r="BP77" s="205"/>
      <c r="BQ77" s="205"/>
      <c r="BR77" s="205"/>
      <c r="BS77" s="205"/>
      <c r="BT77" s="494">
        <f>SUM(BU77:BX77)</f>
        <v>0</v>
      </c>
      <c r="BU77" s="205"/>
      <c r="BV77" s="205"/>
      <c r="BW77" s="205"/>
      <c r="BX77" s="205"/>
      <c r="BY77" s="494">
        <f>SUM(BZ77:CC77)</f>
        <v>0</v>
      </c>
      <c r="BZ77" s="205"/>
      <c r="CA77" s="205"/>
      <c r="CB77" s="205"/>
      <c r="CC77" s="205"/>
      <c r="CD77" s="494">
        <f>SUM(CE77:CH77)</f>
        <v>0</v>
      </c>
      <c r="CE77" s="205"/>
      <c r="CF77" s="205"/>
      <c r="CG77" s="205"/>
      <c r="CH77" s="205"/>
      <c r="CI77" s="501">
        <f t="shared" ref="CI77:CI82" si="187">AA77+AF77+AK77</f>
        <v>4000</v>
      </c>
      <c r="CJ77" s="492">
        <f t="shared" ref="CJ77:CJ82" si="188">AB77+AG77+AL77</f>
        <v>0</v>
      </c>
      <c r="CK77" s="492">
        <f t="shared" ref="CK77:CK82" si="189">AC77+AH77+AM77</f>
        <v>0</v>
      </c>
      <c r="CL77" s="492">
        <f t="shared" ref="CL77:CL82" si="190">AD77+AI77+AN77</f>
        <v>0</v>
      </c>
      <c r="CM77" s="492">
        <f t="shared" ref="CM77:CM82" si="191">AE77+AJ77+AO77</f>
        <v>4000</v>
      </c>
      <c r="CN77" s="501">
        <f t="shared" si="186"/>
        <v>4000</v>
      </c>
      <c r="CO77" s="492">
        <f t="shared" si="186"/>
        <v>0</v>
      </c>
      <c r="CP77" s="492">
        <f t="shared" si="186"/>
        <v>0</v>
      </c>
      <c r="CQ77" s="492">
        <f t="shared" si="186"/>
        <v>0</v>
      </c>
      <c r="CR77" s="492">
        <f t="shared" si="186"/>
        <v>4000</v>
      </c>
      <c r="CS77" s="501">
        <f t="shared" ref="CS77:CS82" si="192">CN77-CO77-CP77-CQ77-CR77</f>
        <v>0</v>
      </c>
      <c r="CT77" s="14"/>
    </row>
    <row r="78" spans="1:195" s="4" customFormat="1" ht="144" x14ac:dyDescent="0.3">
      <c r="A78" s="475" t="s">
        <v>156</v>
      </c>
      <c r="B78" s="498" t="s">
        <v>157</v>
      </c>
      <c r="C78" s="498" t="s">
        <v>1276</v>
      </c>
      <c r="D78" s="476" t="s">
        <v>1133</v>
      </c>
      <c r="E78" s="502" t="s">
        <v>52</v>
      </c>
      <c r="F78" s="481" t="s">
        <v>153</v>
      </c>
      <c r="G78" s="503" t="s">
        <v>74</v>
      </c>
      <c r="H78" s="528"/>
      <c r="I78" s="65">
        <v>4500</v>
      </c>
      <c r="J78" s="65">
        <v>4500</v>
      </c>
      <c r="K78" s="65" t="s">
        <v>140</v>
      </c>
      <c r="L78" s="65">
        <v>4650</v>
      </c>
      <c r="M78" s="653" t="s">
        <v>140</v>
      </c>
      <c r="N78" s="868"/>
      <c r="O78" s="868"/>
      <c r="P78" s="588"/>
      <c r="Q78" s="65">
        <v>4650</v>
      </c>
      <c r="R78" s="65">
        <v>4800</v>
      </c>
      <c r="S78" s="65">
        <v>4950</v>
      </c>
      <c r="T78" s="65">
        <v>5100</v>
      </c>
      <c r="U78" s="65">
        <v>5250</v>
      </c>
      <c r="V78" s="65">
        <v>5400</v>
      </c>
      <c r="W78" s="65">
        <v>5550</v>
      </c>
      <c r="X78" s="65">
        <v>5700</v>
      </c>
      <c r="Y78" s="65">
        <v>5850</v>
      </c>
      <c r="Z78" s="65">
        <v>6000</v>
      </c>
      <c r="AA78" s="501">
        <f t="shared" ref="AA78:AA81" si="193">SUM(AB78:AE78)</f>
        <v>6000</v>
      </c>
      <c r="AB78" s="55"/>
      <c r="AC78" s="205"/>
      <c r="AD78" s="205"/>
      <c r="AE78" s="55">
        <v>6000</v>
      </c>
      <c r="AF78" s="494">
        <f t="shared" ref="AF78:AF79" si="194">SUM(AG78:AJ78)</f>
        <v>0</v>
      </c>
      <c r="AG78" s="205"/>
      <c r="AH78" s="205"/>
      <c r="AI78" s="205"/>
      <c r="AJ78" s="205"/>
      <c r="AK78" s="494">
        <f t="shared" ref="AK78:AK79" si="195">SUM(AL78:AO78)</f>
        <v>0</v>
      </c>
      <c r="AL78" s="205"/>
      <c r="AM78" s="205"/>
      <c r="AN78" s="205"/>
      <c r="AO78" s="205"/>
      <c r="AP78" s="494">
        <f t="shared" ref="AP78:AP79" si="196">SUM(AQ78:AT78)</f>
        <v>0</v>
      </c>
      <c r="AQ78" s="205"/>
      <c r="AR78" s="205"/>
      <c r="AS78" s="205"/>
      <c r="AT78" s="205"/>
      <c r="AU78" s="494">
        <f t="shared" ref="AU78:AU79" si="197">SUM(AV78:AY78)</f>
        <v>0</v>
      </c>
      <c r="AV78" s="205"/>
      <c r="AW78" s="205"/>
      <c r="AX78" s="205"/>
      <c r="AY78" s="205"/>
      <c r="AZ78" s="494">
        <f t="shared" ref="AZ78:AZ79" si="198">SUM(BA78:BD78)</f>
        <v>0</v>
      </c>
      <c r="BA78" s="205"/>
      <c r="BB78" s="205"/>
      <c r="BC78" s="205"/>
      <c r="BD78" s="205"/>
      <c r="BE78" s="494">
        <f t="shared" ref="BE78:BE79" si="199">SUM(BF78:BI78)</f>
        <v>0</v>
      </c>
      <c r="BF78" s="205"/>
      <c r="BG78" s="205"/>
      <c r="BH78" s="205"/>
      <c r="BI78" s="205"/>
      <c r="BJ78" s="494">
        <f t="shared" ref="BJ78:BJ79" si="200">SUM(BK78:BN78)</f>
        <v>0</v>
      </c>
      <c r="BK78" s="205"/>
      <c r="BL78" s="205"/>
      <c r="BM78" s="205"/>
      <c r="BN78" s="205"/>
      <c r="BO78" s="494">
        <f t="shared" ref="BO78:BO79" si="201">SUM(BP78:BS78)</f>
        <v>0</v>
      </c>
      <c r="BP78" s="205"/>
      <c r="BQ78" s="205"/>
      <c r="BR78" s="205"/>
      <c r="BS78" s="205"/>
      <c r="BT78" s="494">
        <f t="shared" ref="BT78:BT79" si="202">SUM(BU78:BX78)</f>
        <v>0</v>
      </c>
      <c r="BU78" s="205"/>
      <c r="BV78" s="205"/>
      <c r="BW78" s="205"/>
      <c r="BX78" s="205"/>
      <c r="BY78" s="494">
        <f t="shared" ref="BY78:BY79" si="203">SUM(BZ78:CC78)</f>
        <v>0</v>
      </c>
      <c r="BZ78" s="205"/>
      <c r="CA78" s="205"/>
      <c r="CB78" s="205"/>
      <c r="CC78" s="205"/>
      <c r="CD78" s="494">
        <f t="shared" ref="CD78:CD79" si="204">SUM(CE78:CH78)</f>
        <v>0</v>
      </c>
      <c r="CE78" s="205"/>
      <c r="CF78" s="205"/>
      <c r="CG78" s="205"/>
      <c r="CH78" s="205"/>
      <c r="CI78" s="501">
        <f t="shared" si="187"/>
        <v>6000</v>
      </c>
      <c r="CJ78" s="492">
        <f t="shared" si="188"/>
        <v>0</v>
      </c>
      <c r="CK78" s="492">
        <f t="shared" si="189"/>
        <v>0</v>
      </c>
      <c r="CL78" s="492">
        <f t="shared" si="190"/>
        <v>0</v>
      </c>
      <c r="CM78" s="492">
        <f t="shared" si="191"/>
        <v>6000</v>
      </c>
      <c r="CN78" s="501">
        <f t="shared" si="186"/>
        <v>6000</v>
      </c>
      <c r="CO78" s="492">
        <f t="shared" si="186"/>
        <v>0</v>
      </c>
      <c r="CP78" s="492">
        <f t="shared" si="186"/>
        <v>0</v>
      </c>
      <c r="CQ78" s="492">
        <f t="shared" si="186"/>
        <v>0</v>
      </c>
      <c r="CR78" s="492">
        <f t="shared" si="186"/>
        <v>6000</v>
      </c>
      <c r="CS78" s="501">
        <f t="shared" si="192"/>
        <v>0</v>
      </c>
      <c r="CT78" s="14"/>
    </row>
    <row r="79" spans="1:195" s="4" customFormat="1" ht="144" x14ac:dyDescent="0.3">
      <c r="A79" s="475" t="s">
        <v>158</v>
      </c>
      <c r="B79" s="498" t="s">
        <v>161</v>
      </c>
      <c r="C79" s="498" t="s">
        <v>1276</v>
      </c>
      <c r="D79" s="476" t="s">
        <v>1133</v>
      </c>
      <c r="E79" s="502" t="s">
        <v>52</v>
      </c>
      <c r="F79" s="481" t="s">
        <v>153</v>
      </c>
      <c r="G79" s="503" t="s">
        <v>74</v>
      </c>
      <c r="H79" s="528"/>
      <c r="I79" s="65">
        <v>8000</v>
      </c>
      <c r="J79" s="65">
        <v>8000</v>
      </c>
      <c r="K79" s="65" t="s">
        <v>140</v>
      </c>
      <c r="L79" s="65">
        <v>8200</v>
      </c>
      <c r="M79" s="653" t="s">
        <v>140</v>
      </c>
      <c r="N79" s="818"/>
      <c r="O79" s="818"/>
      <c r="P79" s="586"/>
      <c r="Q79" s="65">
        <v>8200</v>
      </c>
      <c r="R79" s="65">
        <v>8400</v>
      </c>
      <c r="S79" s="65">
        <v>8600</v>
      </c>
      <c r="T79" s="65">
        <v>8800</v>
      </c>
      <c r="U79" s="65">
        <v>9000</v>
      </c>
      <c r="V79" s="65">
        <v>9200</v>
      </c>
      <c r="W79" s="65">
        <v>9400</v>
      </c>
      <c r="X79" s="65">
        <v>9600</v>
      </c>
      <c r="Y79" s="65">
        <v>9800</v>
      </c>
      <c r="Z79" s="65">
        <v>10000</v>
      </c>
      <c r="AA79" s="501">
        <f>SUM(AB79:AE79)</f>
        <v>30000</v>
      </c>
      <c r="AB79" s="55"/>
      <c r="AC79" s="205"/>
      <c r="AD79" s="205"/>
      <c r="AE79" s="55">
        <v>30000</v>
      </c>
      <c r="AF79" s="494">
        <f t="shared" si="194"/>
        <v>0</v>
      </c>
      <c r="AG79" s="205"/>
      <c r="AH79" s="205"/>
      <c r="AI79" s="205"/>
      <c r="AJ79" s="205"/>
      <c r="AK79" s="494">
        <f t="shared" si="195"/>
        <v>0</v>
      </c>
      <c r="AL79" s="205"/>
      <c r="AM79" s="205"/>
      <c r="AN79" s="205"/>
      <c r="AO79" s="205"/>
      <c r="AP79" s="494">
        <f t="shared" si="196"/>
        <v>0</v>
      </c>
      <c r="AQ79" s="205"/>
      <c r="AR79" s="205"/>
      <c r="AS79" s="205"/>
      <c r="AT79" s="205"/>
      <c r="AU79" s="494">
        <f t="shared" si="197"/>
        <v>0</v>
      </c>
      <c r="AV79" s="205"/>
      <c r="AW79" s="205"/>
      <c r="AX79" s="205"/>
      <c r="AY79" s="205"/>
      <c r="AZ79" s="494">
        <f t="shared" si="198"/>
        <v>0</v>
      </c>
      <c r="BA79" s="205"/>
      <c r="BB79" s="205"/>
      <c r="BC79" s="205"/>
      <c r="BD79" s="205"/>
      <c r="BE79" s="494">
        <f t="shared" si="199"/>
        <v>0</v>
      </c>
      <c r="BF79" s="205"/>
      <c r="BG79" s="205"/>
      <c r="BH79" s="205"/>
      <c r="BI79" s="205"/>
      <c r="BJ79" s="494">
        <f t="shared" si="200"/>
        <v>0</v>
      </c>
      <c r="BK79" s="205"/>
      <c r="BL79" s="205"/>
      <c r="BM79" s="205"/>
      <c r="BN79" s="205"/>
      <c r="BO79" s="494">
        <f t="shared" si="201"/>
        <v>0</v>
      </c>
      <c r="BP79" s="205"/>
      <c r="BQ79" s="205"/>
      <c r="BR79" s="205"/>
      <c r="BS79" s="205"/>
      <c r="BT79" s="494">
        <f t="shared" si="202"/>
        <v>0</v>
      </c>
      <c r="BU79" s="205"/>
      <c r="BV79" s="205"/>
      <c r="BW79" s="205"/>
      <c r="BX79" s="205"/>
      <c r="BY79" s="494">
        <f t="shared" si="203"/>
        <v>0</v>
      </c>
      <c r="BZ79" s="205"/>
      <c r="CA79" s="205"/>
      <c r="CB79" s="205"/>
      <c r="CC79" s="205"/>
      <c r="CD79" s="494">
        <f t="shared" si="204"/>
        <v>0</v>
      </c>
      <c r="CE79" s="205"/>
      <c r="CF79" s="205"/>
      <c r="CG79" s="205"/>
      <c r="CH79" s="205"/>
      <c r="CI79" s="501">
        <f t="shared" si="187"/>
        <v>30000</v>
      </c>
      <c r="CJ79" s="492">
        <f t="shared" si="188"/>
        <v>0</v>
      </c>
      <c r="CK79" s="492">
        <f t="shared" si="189"/>
        <v>0</v>
      </c>
      <c r="CL79" s="492">
        <f t="shared" si="190"/>
        <v>0</v>
      </c>
      <c r="CM79" s="492">
        <f t="shared" si="191"/>
        <v>30000</v>
      </c>
      <c r="CN79" s="501">
        <f t="shared" si="186"/>
        <v>30000</v>
      </c>
      <c r="CO79" s="492">
        <f t="shared" si="186"/>
        <v>0</v>
      </c>
      <c r="CP79" s="492">
        <f t="shared" si="186"/>
        <v>0</v>
      </c>
      <c r="CQ79" s="492">
        <f t="shared" si="186"/>
        <v>0</v>
      </c>
      <c r="CR79" s="492">
        <f t="shared" si="186"/>
        <v>30000</v>
      </c>
      <c r="CS79" s="501">
        <f t="shared" si="192"/>
        <v>0</v>
      </c>
      <c r="CT79" s="14"/>
    </row>
    <row r="80" spans="1:195" s="4" customFormat="1" ht="144" x14ac:dyDescent="0.35">
      <c r="A80" s="464" t="s">
        <v>160</v>
      </c>
      <c r="B80" s="460" t="s">
        <v>163</v>
      </c>
      <c r="C80" s="454" t="s">
        <v>164</v>
      </c>
      <c r="D80" s="463" t="s">
        <v>98</v>
      </c>
      <c r="E80" s="467" t="s">
        <v>52</v>
      </c>
      <c r="F80" s="61" t="s">
        <v>1225</v>
      </c>
      <c r="G80" s="468" t="s">
        <v>117</v>
      </c>
      <c r="H80" s="528"/>
      <c r="I80" s="467" t="s">
        <v>118</v>
      </c>
      <c r="J80" s="639" t="s">
        <v>118</v>
      </c>
      <c r="K80" s="467" t="s">
        <v>118</v>
      </c>
      <c r="L80" s="639" t="s">
        <v>118</v>
      </c>
      <c r="M80" s="654" t="s">
        <v>118</v>
      </c>
      <c r="N80" s="595"/>
      <c r="O80" s="442"/>
      <c r="P80" s="442"/>
      <c r="Q80" s="580" t="s">
        <v>118</v>
      </c>
      <c r="R80" s="580" t="s">
        <v>118</v>
      </c>
      <c r="S80" s="580" t="s">
        <v>118</v>
      </c>
      <c r="T80" s="580" t="s">
        <v>118</v>
      </c>
      <c r="U80" s="580" t="s">
        <v>118</v>
      </c>
      <c r="V80" s="580" t="s">
        <v>118</v>
      </c>
      <c r="W80" s="580" t="s">
        <v>118</v>
      </c>
      <c r="X80" s="580" t="s">
        <v>118</v>
      </c>
      <c r="Y80" s="580" t="s">
        <v>118</v>
      </c>
      <c r="Z80" s="580" t="s">
        <v>118</v>
      </c>
      <c r="AA80" s="579">
        <f>SUM(AB80:AE80)</f>
        <v>60000</v>
      </c>
      <c r="AB80" s="55"/>
      <c r="AC80" s="205"/>
      <c r="AD80" s="205"/>
      <c r="AE80" s="55">
        <v>60000</v>
      </c>
      <c r="AF80" s="579">
        <f>SUM(AG80:AJ80)</f>
        <v>60000</v>
      </c>
      <c r="AG80" s="55"/>
      <c r="AH80" s="205"/>
      <c r="AI80" s="205"/>
      <c r="AJ80" s="55">
        <v>60000</v>
      </c>
      <c r="AK80" s="579">
        <f>SUM(AL80:AO80)</f>
        <v>60000</v>
      </c>
      <c r="AL80" s="55"/>
      <c r="AM80" s="205"/>
      <c r="AN80" s="205"/>
      <c r="AO80" s="55">
        <v>60000</v>
      </c>
      <c r="AP80" s="579">
        <f>SUM(AQ80:AT80)</f>
        <v>60000</v>
      </c>
      <c r="AQ80" s="55"/>
      <c r="AR80" s="205"/>
      <c r="AS80" s="205"/>
      <c r="AT80" s="55">
        <v>60000</v>
      </c>
      <c r="AU80" s="579">
        <f>SUM(AV80:AY80)</f>
        <v>60000</v>
      </c>
      <c r="AV80" s="55"/>
      <c r="AW80" s="205"/>
      <c r="AX80" s="205"/>
      <c r="AY80" s="55">
        <v>60000</v>
      </c>
      <c r="AZ80" s="579">
        <f>SUM(BA80:BD80)</f>
        <v>60000</v>
      </c>
      <c r="BA80" s="55"/>
      <c r="BB80" s="205"/>
      <c r="BC80" s="205"/>
      <c r="BD80" s="55">
        <v>60000</v>
      </c>
      <c r="BE80" s="579">
        <f>SUM(BF80:BI80)</f>
        <v>60000</v>
      </c>
      <c r="BF80" s="55"/>
      <c r="BG80" s="205"/>
      <c r="BH80" s="205"/>
      <c r="BI80" s="55">
        <v>60000</v>
      </c>
      <c r="BJ80" s="579">
        <f>SUM(BK80:BN80)</f>
        <v>60000</v>
      </c>
      <c r="BK80" s="55"/>
      <c r="BL80" s="205"/>
      <c r="BM80" s="205"/>
      <c r="BN80" s="55">
        <v>60000</v>
      </c>
      <c r="BO80" s="579">
        <f>SUM(BP80:BS80)</f>
        <v>60000</v>
      </c>
      <c r="BP80" s="55"/>
      <c r="BQ80" s="205"/>
      <c r="BR80" s="205"/>
      <c r="BS80" s="55">
        <v>60000</v>
      </c>
      <c r="BT80" s="579">
        <f>SUM(BU80:BX80)</f>
        <v>60000</v>
      </c>
      <c r="BU80" s="55"/>
      <c r="BV80" s="205"/>
      <c r="BW80" s="205"/>
      <c r="BX80" s="55">
        <v>60000</v>
      </c>
      <c r="BY80" s="579">
        <f>SUM(BZ80:CC80)</f>
        <v>60000</v>
      </c>
      <c r="BZ80" s="55"/>
      <c r="CA80" s="205"/>
      <c r="CB80" s="205"/>
      <c r="CC80" s="55">
        <v>60000</v>
      </c>
      <c r="CD80" s="579">
        <f>SUM(CE80:CH80)</f>
        <v>60000</v>
      </c>
      <c r="CE80" s="55"/>
      <c r="CF80" s="205"/>
      <c r="CG80" s="205"/>
      <c r="CH80" s="55">
        <v>60000</v>
      </c>
      <c r="CI80" s="579">
        <f t="shared" si="187"/>
        <v>180000</v>
      </c>
      <c r="CJ80" s="581">
        <f t="shared" si="188"/>
        <v>0</v>
      </c>
      <c r="CK80" s="581">
        <f t="shared" si="189"/>
        <v>0</v>
      </c>
      <c r="CL80" s="581">
        <f t="shared" si="190"/>
        <v>0</v>
      </c>
      <c r="CM80" s="581">
        <f t="shared" si="191"/>
        <v>180000</v>
      </c>
      <c r="CN80" s="579">
        <f t="shared" si="186"/>
        <v>720000</v>
      </c>
      <c r="CO80" s="581">
        <f t="shared" si="186"/>
        <v>0</v>
      </c>
      <c r="CP80" s="581">
        <f t="shared" si="186"/>
        <v>0</v>
      </c>
      <c r="CQ80" s="581">
        <f t="shared" si="186"/>
        <v>0</v>
      </c>
      <c r="CR80" s="581">
        <f t="shared" si="186"/>
        <v>720000</v>
      </c>
      <c r="CS80" s="579">
        <f t="shared" si="192"/>
        <v>0</v>
      </c>
      <c r="CT80" s="14"/>
    </row>
    <row r="81" spans="1:98" s="4" customFormat="1" ht="168" x14ac:dyDescent="0.3">
      <c r="A81" s="195" t="s">
        <v>162</v>
      </c>
      <c r="B81" s="188" t="s">
        <v>165</v>
      </c>
      <c r="C81" s="167" t="s">
        <v>1223</v>
      </c>
      <c r="D81" s="193" t="s">
        <v>166</v>
      </c>
      <c r="E81" s="147" t="s">
        <v>167</v>
      </c>
      <c r="F81" s="192" t="s">
        <v>834</v>
      </c>
      <c r="G81" s="187" t="s">
        <v>74</v>
      </c>
      <c r="H81" s="534">
        <v>8</v>
      </c>
      <c r="I81" s="187">
        <v>8.5</v>
      </c>
      <c r="J81" s="637">
        <v>8.5</v>
      </c>
      <c r="K81" s="289">
        <v>6.2</v>
      </c>
      <c r="L81" s="637">
        <v>8.5</v>
      </c>
      <c r="M81" s="643">
        <v>8.6</v>
      </c>
      <c r="N81" s="592" t="s">
        <v>1514</v>
      </c>
      <c r="O81" s="615" t="s">
        <v>1657</v>
      </c>
      <c r="P81" s="545"/>
      <c r="Q81" s="187">
        <v>8.5</v>
      </c>
      <c r="R81" s="187">
        <v>8.5</v>
      </c>
      <c r="S81" s="187">
        <v>8.5</v>
      </c>
      <c r="T81" s="187">
        <v>8.5</v>
      </c>
      <c r="U81" s="187">
        <v>8.6</v>
      </c>
      <c r="V81" s="187">
        <v>8.6</v>
      </c>
      <c r="W81" s="187">
        <v>8.6</v>
      </c>
      <c r="X81" s="187">
        <v>8.6999999999999993</v>
      </c>
      <c r="Y81" s="187">
        <v>8.6999999999999993</v>
      </c>
      <c r="Z81" s="187">
        <v>8.8000000000000007</v>
      </c>
      <c r="AA81" s="181">
        <f t="shared" si="193"/>
        <v>0</v>
      </c>
      <c r="AB81" s="55"/>
      <c r="AC81" s="196"/>
      <c r="AD81" s="196"/>
      <c r="AE81" s="196"/>
      <c r="AF81" s="165">
        <v>76924.2</v>
      </c>
      <c r="AG81" s="196"/>
      <c r="AH81" s="196"/>
      <c r="AI81" s="196"/>
      <c r="AJ81" s="196"/>
      <c r="AK81" s="165">
        <v>153848.5</v>
      </c>
      <c r="AL81" s="196"/>
      <c r="AM81" s="196"/>
      <c r="AN81" s="196"/>
      <c r="AO81" s="196"/>
      <c r="AP81" s="165">
        <v>153848.5</v>
      </c>
      <c r="AQ81" s="196"/>
      <c r="AR81" s="196"/>
      <c r="AS81" s="196"/>
      <c r="AT81" s="196"/>
      <c r="AU81" s="165"/>
      <c r="AV81" s="196"/>
      <c r="AW81" s="196"/>
      <c r="AX81" s="196"/>
      <c r="AY81" s="196"/>
      <c r="AZ81" s="165"/>
      <c r="BA81" s="196"/>
      <c r="BB81" s="196"/>
      <c r="BC81" s="196"/>
      <c r="BD81" s="196"/>
      <c r="BE81" s="165"/>
      <c r="BF81" s="196"/>
      <c r="BG81" s="196"/>
      <c r="BH81" s="196"/>
      <c r="BI81" s="196"/>
      <c r="BJ81" s="165"/>
      <c r="BK81" s="196"/>
      <c r="BL81" s="196"/>
      <c r="BM81" s="196"/>
      <c r="BN81" s="196"/>
      <c r="BO81" s="165"/>
      <c r="BP81" s="196"/>
      <c r="BQ81" s="196"/>
      <c r="BR81" s="196"/>
      <c r="BS81" s="196"/>
      <c r="BT81" s="165"/>
      <c r="BU81" s="196"/>
      <c r="BV81" s="196"/>
      <c r="BW81" s="196"/>
      <c r="BX81" s="196"/>
      <c r="BY81" s="165"/>
      <c r="BZ81" s="196"/>
      <c r="CA81" s="196"/>
      <c r="CB81" s="196"/>
      <c r="CC81" s="196"/>
      <c r="CD81" s="165"/>
      <c r="CE81" s="196"/>
      <c r="CF81" s="196"/>
      <c r="CG81" s="196"/>
      <c r="CH81" s="196"/>
      <c r="CI81" s="181">
        <f t="shared" si="187"/>
        <v>230772.7</v>
      </c>
      <c r="CJ81" s="180">
        <f t="shared" si="188"/>
        <v>0</v>
      </c>
      <c r="CK81" s="180">
        <f t="shared" si="189"/>
        <v>0</v>
      </c>
      <c r="CL81" s="180">
        <f t="shared" si="190"/>
        <v>0</v>
      </c>
      <c r="CM81" s="180">
        <f t="shared" si="191"/>
        <v>0</v>
      </c>
      <c r="CN81" s="181">
        <f t="shared" si="186"/>
        <v>384621.2</v>
      </c>
      <c r="CO81" s="180">
        <f t="shared" si="186"/>
        <v>0</v>
      </c>
      <c r="CP81" s="180">
        <f t="shared" si="186"/>
        <v>0</v>
      </c>
      <c r="CQ81" s="180">
        <f t="shared" si="186"/>
        <v>0</v>
      </c>
      <c r="CR81" s="180">
        <f t="shared" si="186"/>
        <v>0</v>
      </c>
      <c r="CS81" s="273">
        <f t="shared" si="192"/>
        <v>384621.2</v>
      </c>
      <c r="CT81" s="14"/>
    </row>
    <row r="82" spans="1:98" s="4" customFormat="1" ht="168" x14ac:dyDescent="0.3">
      <c r="A82" s="325" t="s">
        <v>832</v>
      </c>
      <c r="B82" s="312" t="s">
        <v>856</v>
      </c>
      <c r="C82" s="312" t="s">
        <v>857</v>
      </c>
      <c r="D82" s="315" t="s">
        <v>139</v>
      </c>
      <c r="E82" s="305" t="s">
        <v>43</v>
      </c>
      <c r="F82" s="324" t="s">
        <v>1228</v>
      </c>
      <c r="G82" s="311" t="s">
        <v>74</v>
      </c>
      <c r="H82" s="533"/>
      <c r="I82" s="124"/>
      <c r="J82" s="637"/>
      <c r="K82" s="316"/>
      <c r="L82" s="637"/>
      <c r="M82" s="643"/>
      <c r="N82" s="592"/>
      <c r="O82" s="615"/>
      <c r="P82" s="545"/>
      <c r="Q82" s="316"/>
      <c r="R82" s="124"/>
      <c r="S82" s="316"/>
      <c r="T82" s="124"/>
      <c r="U82" s="316"/>
      <c r="V82" s="316"/>
      <c r="W82" s="124"/>
      <c r="X82" s="316"/>
      <c r="Y82" s="316"/>
      <c r="Z82" s="124">
        <f>4*1200*12/184413*100</f>
        <v>31.234240536187798</v>
      </c>
      <c r="AA82" s="116"/>
      <c r="AB82" s="314"/>
      <c r="AC82" s="314"/>
      <c r="AD82" s="314"/>
      <c r="AE82" s="314"/>
      <c r="AF82" s="116"/>
      <c r="AG82" s="314"/>
      <c r="AH82" s="314"/>
      <c r="AI82" s="314"/>
      <c r="AJ82" s="314"/>
      <c r="AK82" s="116"/>
      <c r="AL82" s="314"/>
      <c r="AM82" s="314"/>
      <c r="AN82" s="314"/>
      <c r="AO82" s="314"/>
      <c r="AP82" s="116"/>
      <c r="AQ82" s="314"/>
      <c r="AR82" s="314"/>
      <c r="AS82" s="314"/>
      <c r="AT82" s="314"/>
      <c r="AU82" s="116"/>
      <c r="AV82" s="314"/>
      <c r="AW82" s="314"/>
      <c r="AX82" s="314"/>
      <c r="AY82" s="314"/>
      <c r="AZ82" s="116"/>
      <c r="BA82" s="314"/>
      <c r="BB82" s="314"/>
      <c r="BC82" s="314"/>
      <c r="BD82" s="314"/>
      <c r="BE82" s="116"/>
      <c r="BF82" s="314"/>
      <c r="BG82" s="314"/>
      <c r="BH82" s="314"/>
      <c r="BI82" s="314"/>
      <c r="BJ82" s="116">
        <v>20000</v>
      </c>
      <c r="BK82" s="314"/>
      <c r="BL82" s="314"/>
      <c r="BM82" s="314"/>
      <c r="BN82" s="314"/>
      <c r="BO82" s="116">
        <v>236000</v>
      </c>
      <c r="BP82" s="314"/>
      <c r="BQ82" s="314"/>
      <c r="BR82" s="314"/>
      <c r="BS82" s="314"/>
      <c r="BT82" s="116">
        <v>566400</v>
      </c>
      <c r="BU82" s="314"/>
      <c r="BV82" s="314"/>
      <c r="BW82" s="314"/>
      <c r="BX82" s="314"/>
      <c r="BY82" s="116">
        <v>377600</v>
      </c>
      <c r="BZ82" s="314"/>
      <c r="CA82" s="314"/>
      <c r="CB82" s="314"/>
      <c r="CC82" s="314"/>
      <c r="CD82" s="116">
        <v>300000</v>
      </c>
      <c r="CE82" s="314"/>
      <c r="CF82" s="314"/>
      <c r="CG82" s="314"/>
      <c r="CH82" s="314"/>
      <c r="CI82" s="117">
        <f t="shared" si="187"/>
        <v>0</v>
      </c>
      <c r="CJ82" s="309">
        <f t="shared" si="188"/>
        <v>0</v>
      </c>
      <c r="CK82" s="309">
        <f t="shared" si="189"/>
        <v>0</v>
      </c>
      <c r="CL82" s="309">
        <f t="shared" si="190"/>
        <v>0</v>
      </c>
      <c r="CM82" s="309">
        <f t="shared" si="191"/>
        <v>0</v>
      </c>
      <c r="CN82" s="307">
        <f t="shared" si="186"/>
        <v>1500000</v>
      </c>
      <c r="CO82" s="306">
        <f t="shared" si="186"/>
        <v>0</v>
      </c>
      <c r="CP82" s="306">
        <f t="shared" si="186"/>
        <v>0</v>
      </c>
      <c r="CQ82" s="306">
        <f t="shared" si="186"/>
        <v>0</v>
      </c>
      <c r="CR82" s="306">
        <f t="shared" si="186"/>
        <v>0</v>
      </c>
      <c r="CS82" s="307">
        <f t="shared" si="192"/>
        <v>1500000</v>
      </c>
      <c r="CT82" s="14"/>
    </row>
    <row r="83" spans="1:98" x14ac:dyDescent="0.3">
      <c r="A83" s="362" t="s">
        <v>168</v>
      </c>
      <c r="B83" s="813" t="s">
        <v>169</v>
      </c>
      <c r="C83" s="813"/>
      <c r="D83" s="813"/>
      <c r="E83" s="813"/>
      <c r="F83" s="813"/>
      <c r="G83" s="813"/>
      <c r="H83" s="813"/>
      <c r="I83" s="813"/>
      <c r="J83" s="813"/>
      <c r="K83" s="813"/>
      <c r="L83" s="813"/>
      <c r="M83" s="813"/>
      <c r="N83" s="813"/>
      <c r="O83" s="813"/>
      <c r="P83" s="813"/>
      <c r="Q83" s="813"/>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3"/>
      <c r="BA83" s="813"/>
      <c r="BB83" s="813"/>
      <c r="BC83" s="813"/>
      <c r="BD83" s="813"/>
      <c r="BE83" s="813"/>
      <c r="BF83" s="813"/>
      <c r="BG83" s="813"/>
      <c r="BH83" s="813"/>
      <c r="BI83" s="813"/>
      <c r="BJ83" s="813"/>
      <c r="BK83" s="813"/>
      <c r="BL83" s="813"/>
      <c r="BM83" s="813"/>
      <c r="BN83" s="813"/>
      <c r="BO83" s="813"/>
      <c r="BP83" s="813"/>
      <c r="BQ83" s="813"/>
      <c r="BR83" s="813"/>
      <c r="BS83" s="813"/>
      <c r="BT83" s="813"/>
      <c r="BU83" s="813"/>
      <c r="BV83" s="813"/>
      <c r="BW83" s="813"/>
      <c r="BX83" s="813"/>
      <c r="BY83" s="813"/>
      <c r="BZ83" s="813"/>
      <c r="CA83" s="813"/>
      <c r="CB83" s="813"/>
      <c r="CC83" s="813"/>
      <c r="CD83" s="813"/>
      <c r="CE83" s="813"/>
      <c r="CF83" s="813"/>
      <c r="CG83" s="813"/>
      <c r="CH83" s="813"/>
      <c r="CI83" s="813"/>
      <c r="CJ83" s="813"/>
      <c r="CK83" s="813"/>
      <c r="CL83" s="813"/>
      <c r="CM83" s="813"/>
      <c r="CN83" s="277">
        <f>CN84+CN86+CN87</f>
        <v>3330.7</v>
      </c>
      <c r="CO83" s="277">
        <f t="shared" ref="CO83:CS83" si="205">CO84+CO86+CO87</f>
        <v>306.60000000000002</v>
      </c>
      <c r="CP83" s="277">
        <f t="shared" si="205"/>
        <v>0</v>
      </c>
      <c r="CQ83" s="277">
        <f t="shared" si="205"/>
        <v>0</v>
      </c>
      <c r="CR83" s="277">
        <f t="shared" si="205"/>
        <v>1727.1999999999998</v>
      </c>
      <c r="CS83" s="273">
        <f t="shared" si="205"/>
        <v>1296.8999999999996</v>
      </c>
    </row>
    <row r="84" spans="1:98" s="4" customFormat="1" ht="102.75" customHeight="1" x14ac:dyDescent="0.3">
      <c r="A84" s="858" t="s">
        <v>833</v>
      </c>
      <c r="B84" s="866" t="s">
        <v>171</v>
      </c>
      <c r="C84" s="506" t="s">
        <v>1744</v>
      </c>
      <c r="D84" s="476" t="s">
        <v>139</v>
      </c>
      <c r="E84" s="502" t="s">
        <v>52</v>
      </c>
      <c r="F84" s="61" t="s">
        <v>172</v>
      </c>
      <c r="G84" s="503" t="s">
        <v>74</v>
      </c>
      <c r="H84" s="527"/>
      <c r="I84" s="503">
        <v>1000</v>
      </c>
      <c r="J84" s="637">
        <v>1000</v>
      </c>
      <c r="K84" s="503" t="s">
        <v>140</v>
      </c>
      <c r="L84" s="637">
        <v>1000</v>
      </c>
      <c r="M84" s="643">
        <v>800</v>
      </c>
      <c r="N84" s="761" t="s">
        <v>1515</v>
      </c>
      <c r="O84" s="777" t="s">
        <v>1658</v>
      </c>
      <c r="P84" s="535"/>
      <c r="Q84" s="503">
        <v>1000</v>
      </c>
      <c r="R84" s="503">
        <v>1500</v>
      </c>
      <c r="S84" s="503">
        <v>1500</v>
      </c>
      <c r="T84" s="503">
        <v>1500</v>
      </c>
      <c r="U84" s="503">
        <v>2000</v>
      </c>
      <c r="V84" s="503">
        <v>2000</v>
      </c>
      <c r="W84" s="503">
        <v>2000</v>
      </c>
      <c r="X84" s="503">
        <v>2500</v>
      </c>
      <c r="Y84" s="503">
        <v>2500</v>
      </c>
      <c r="Z84" s="503">
        <v>2500</v>
      </c>
      <c r="AA84" s="855">
        <f t="shared" ref="AA84:AA87" si="206">SUM(AB84:AE84)</f>
        <v>18.399999999999999</v>
      </c>
      <c r="AB84" s="835">
        <v>18.399999999999999</v>
      </c>
      <c r="AC84" s="835"/>
      <c r="AD84" s="835"/>
      <c r="AE84" s="835"/>
      <c r="AF84" s="855">
        <f t="shared" ref="AF84:AF87" si="207">SUM(AG84:AJ84)</f>
        <v>144.1</v>
      </c>
      <c r="AG84" s="835">
        <v>144.1</v>
      </c>
      <c r="AH84" s="828"/>
      <c r="AI84" s="828"/>
      <c r="AJ84" s="828"/>
      <c r="AK84" s="816">
        <f t="shared" ref="AK84:AK87" si="208">SUM(AL84:AO84)</f>
        <v>144.1</v>
      </c>
      <c r="AL84" s="828">
        <v>144.1</v>
      </c>
      <c r="AM84" s="828"/>
      <c r="AN84" s="828"/>
      <c r="AO84" s="828"/>
      <c r="AP84" s="816">
        <v>144.1</v>
      </c>
      <c r="AQ84" s="828"/>
      <c r="AR84" s="828"/>
      <c r="AS84" s="828"/>
      <c r="AT84" s="828"/>
      <c r="AU84" s="816">
        <v>144.1</v>
      </c>
      <c r="AV84" s="828"/>
      <c r="AW84" s="828"/>
      <c r="AX84" s="828"/>
      <c r="AY84" s="828"/>
      <c r="AZ84" s="816">
        <v>144.1</v>
      </c>
      <c r="BA84" s="828"/>
      <c r="BB84" s="828"/>
      <c r="BC84" s="828"/>
      <c r="BD84" s="828"/>
      <c r="BE84" s="816">
        <v>144.1</v>
      </c>
      <c r="BF84" s="828"/>
      <c r="BG84" s="828"/>
      <c r="BH84" s="828"/>
      <c r="BI84" s="828"/>
      <c r="BJ84" s="816">
        <v>144.1</v>
      </c>
      <c r="BK84" s="828"/>
      <c r="BL84" s="828"/>
      <c r="BM84" s="828"/>
      <c r="BN84" s="828"/>
      <c r="BO84" s="816">
        <v>144.1</v>
      </c>
      <c r="BP84" s="828"/>
      <c r="BQ84" s="828"/>
      <c r="BR84" s="828"/>
      <c r="BS84" s="828"/>
      <c r="BT84" s="816">
        <v>144.1</v>
      </c>
      <c r="BU84" s="828"/>
      <c r="BV84" s="828"/>
      <c r="BW84" s="828"/>
      <c r="BX84" s="828"/>
      <c r="BY84" s="816">
        <v>144.1</v>
      </c>
      <c r="BZ84" s="828"/>
      <c r="CA84" s="828"/>
      <c r="CB84" s="828"/>
      <c r="CC84" s="828"/>
      <c r="CD84" s="816">
        <v>144.1</v>
      </c>
      <c r="CE84" s="828"/>
      <c r="CF84" s="828"/>
      <c r="CG84" s="828"/>
      <c r="CH84" s="828"/>
      <c r="CI84" s="773">
        <f>AA84+AF84+AK84</f>
        <v>306.60000000000002</v>
      </c>
      <c r="CJ84" s="791">
        <f t="shared" ref="CJ84" si="209">AB84+AG84+AL84</f>
        <v>306.60000000000002</v>
      </c>
      <c r="CK84" s="791">
        <f t="shared" ref="CK84" si="210">AC84+AH84+AM84</f>
        <v>0</v>
      </c>
      <c r="CL84" s="791">
        <f t="shared" ref="CL84" si="211">AD84+AI84+AN84</f>
        <v>0</v>
      </c>
      <c r="CM84" s="791">
        <f t="shared" ref="CM84" si="212">AE84+AJ84+AO84</f>
        <v>0</v>
      </c>
      <c r="CN84" s="773">
        <f>AA84+AF84+AK84+AP84+AU84+AZ84+BE84+BJ84+BO84+BT84+BY84+CD84</f>
        <v>1603.4999999999998</v>
      </c>
      <c r="CO84" s="791">
        <f>AB84+AG84+AL84+AQ84+AV84+BA84+BF84+BK84+BP84+BU84+BZ84+CE84</f>
        <v>306.60000000000002</v>
      </c>
      <c r="CP84" s="791">
        <f>AC84+AH84+AM84+AR84+AW84+BB84+BG84+BL84+BQ84+BV84+CA84+CF84</f>
        <v>0</v>
      </c>
      <c r="CQ84" s="791">
        <f>AD84+AI84+AN84+AS84+AX84+BC84+BH84+BM84+BR84+BW84+CB84+CG84</f>
        <v>0</v>
      </c>
      <c r="CR84" s="791">
        <f>AE84+AJ84+AO84+AT84+AY84+BD84+BI84+BN84+BS84+BX84+CC84+CH84</f>
        <v>0</v>
      </c>
      <c r="CS84" s="773">
        <f>CN84-CO84-CP84-CQ84-CR84</f>
        <v>1296.8999999999996</v>
      </c>
      <c r="CT84" s="14"/>
    </row>
    <row r="85" spans="1:98" s="4" customFormat="1" ht="129.75" customHeight="1" x14ac:dyDescent="0.3">
      <c r="A85" s="858"/>
      <c r="B85" s="866"/>
      <c r="C85" s="506" t="s">
        <v>1278</v>
      </c>
      <c r="D85" s="476" t="s">
        <v>139</v>
      </c>
      <c r="E85" s="502" t="s">
        <v>52</v>
      </c>
      <c r="F85" s="61" t="s">
        <v>172</v>
      </c>
      <c r="G85" s="503" t="s">
        <v>74</v>
      </c>
      <c r="H85" s="527"/>
      <c r="I85" s="503">
        <v>1500</v>
      </c>
      <c r="J85" s="637">
        <v>1500</v>
      </c>
      <c r="K85" s="503" t="s">
        <v>140</v>
      </c>
      <c r="L85" s="637">
        <v>1500</v>
      </c>
      <c r="M85" s="643">
        <v>1000</v>
      </c>
      <c r="N85" s="788"/>
      <c r="O85" s="784"/>
      <c r="P85" s="536"/>
      <c r="Q85" s="503">
        <v>1500</v>
      </c>
      <c r="R85" s="503">
        <v>1500</v>
      </c>
      <c r="S85" s="503">
        <v>1500</v>
      </c>
      <c r="T85" s="503">
        <v>1500</v>
      </c>
      <c r="U85" s="503">
        <v>2000</v>
      </c>
      <c r="V85" s="503">
        <v>2000</v>
      </c>
      <c r="W85" s="503">
        <v>2000</v>
      </c>
      <c r="X85" s="503">
        <v>2000</v>
      </c>
      <c r="Y85" s="503">
        <v>2000</v>
      </c>
      <c r="Z85" s="503">
        <v>2000</v>
      </c>
      <c r="AA85" s="855"/>
      <c r="AB85" s="835"/>
      <c r="AC85" s="835"/>
      <c r="AD85" s="835"/>
      <c r="AE85" s="835"/>
      <c r="AF85" s="855"/>
      <c r="AG85" s="835"/>
      <c r="AH85" s="828"/>
      <c r="AI85" s="828"/>
      <c r="AJ85" s="828"/>
      <c r="AK85" s="816"/>
      <c r="AL85" s="828"/>
      <c r="AM85" s="828"/>
      <c r="AN85" s="828"/>
      <c r="AO85" s="828"/>
      <c r="AP85" s="816"/>
      <c r="AQ85" s="828"/>
      <c r="AR85" s="828"/>
      <c r="AS85" s="828"/>
      <c r="AT85" s="828"/>
      <c r="AU85" s="816"/>
      <c r="AV85" s="828"/>
      <c r="AW85" s="828"/>
      <c r="AX85" s="828"/>
      <c r="AY85" s="828"/>
      <c r="AZ85" s="816"/>
      <c r="BA85" s="828"/>
      <c r="BB85" s="828"/>
      <c r="BC85" s="828"/>
      <c r="BD85" s="828"/>
      <c r="BE85" s="816"/>
      <c r="BF85" s="828"/>
      <c r="BG85" s="828"/>
      <c r="BH85" s="828"/>
      <c r="BI85" s="828"/>
      <c r="BJ85" s="816"/>
      <c r="BK85" s="828"/>
      <c r="BL85" s="828"/>
      <c r="BM85" s="828"/>
      <c r="BN85" s="828"/>
      <c r="BO85" s="816"/>
      <c r="BP85" s="828"/>
      <c r="BQ85" s="828"/>
      <c r="BR85" s="828"/>
      <c r="BS85" s="828"/>
      <c r="BT85" s="816"/>
      <c r="BU85" s="828"/>
      <c r="BV85" s="828"/>
      <c r="BW85" s="828"/>
      <c r="BX85" s="828"/>
      <c r="BY85" s="816"/>
      <c r="BZ85" s="828"/>
      <c r="CA85" s="828"/>
      <c r="CB85" s="828"/>
      <c r="CC85" s="828"/>
      <c r="CD85" s="816"/>
      <c r="CE85" s="828"/>
      <c r="CF85" s="828"/>
      <c r="CG85" s="828"/>
      <c r="CH85" s="828"/>
      <c r="CI85" s="774"/>
      <c r="CJ85" s="792"/>
      <c r="CK85" s="792"/>
      <c r="CL85" s="792"/>
      <c r="CM85" s="792"/>
      <c r="CN85" s="774"/>
      <c r="CO85" s="792"/>
      <c r="CP85" s="792"/>
      <c r="CQ85" s="792"/>
      <c r="CR85" s="792"/>
      <c r="CS85" s="774"/>
      <c r="CT85" s="14"/>
    </row>
    <row r="86" spans="1:98" s="4" customFormat="1" ht="123.75" customHeight="1" x14ac:dyDescent="0.3">
      <c r="A86" s="728" t="s">
        <v>170</v>
      </c>
      <c r="B86" s="861" t="s">
        <v>173</v>
      </c>
      <c r="C86" s="206" t="s">
        <v>1279</v>
      </c>
      <c r="D86" s="476" t="s">
        <v>139</v>
      </c>
      <c r="E86" s="502" t="s">
        <v>52</v>
      </c>
      <c r="F86" s="61" t="s">
        <v>1143</v>
      </c>
      <c r="G86" s="503" t="s">
        <v>31</v>
      </c>
      <c r="H86" s="527"/>
      <c r="I86" s="503">
        <v>1</v>
      </c>
      <c r="J86" s="637">
        <v>1</v>
      </c>
      <c r="K86" s="503" t="s">
        <v>140</v>
      </c>
      <c r="L86" s="637">
        <v>1</v>
      </c>
      <c r="M86" s="643">
        <v>1</v>
      </c>
      <c r="N86" s="762"/>
      <c r="O86" s="616" t="s">
        <v>1622</v>
      </c>
      <c r="P86" s="546"/>
      <c r="Q86" s="503">
        <v>1</v>
      </c>
      <c r="R86" s="503">
        <v>1</v>
      </c>
      <c r="S86" s="503">
        <v>1</v>
      </c>
      <c r="T86" s="503">
        <v>1</v>
      </c>
      <c r="U86" s="503">
        <v>1</v>
      </c>
      <c r="V86" s="503">
        <v>1</v>
      </c>
      <c r="W86" s="503">
        <v>1</v>
      </c>
      <c r="X86" s="503">
        <v>1</v>
      </c>
      <c r="Y86" s="503">
        <v>1</v>
      </c>
      <c r="Z86" s="503">
        <v>1</v>
      </c>
      <c r="AA86" s="494">
        <f t="shared" si="206"/>
        <v>997.4</v>
      </c>
      <c r="AB86" s="491"/>
      <c r="AC86" s="491"/>
      <c r="AD86" s="491"/>
      <c r="AE86" s="491">
        <v>997.4</v>
      </c>
      <c r="AF86" s="494">
        <f t="shared" si="207"/>
        <v>0</v>
      </c>
      <c r="AG86" s="491"/>
      <c r="AH86" s="491"/>
      <c r="AI86" s="491"/>
      <c r="AJ86" s="491"/>
      <c r="AK86" s="494">
        <f t="shared" si="208"/>
        <v>0</v>
      </c>
      <c r="AL86" s="491"/>
      <c r="AM86" s="491"/>
      <c r="AN86" s="491"/>
      <c r="AO86" s="491"/>
      <c r="AP86" s="494">
        <f t="shared" ref="AP86:AP87" si="213">SUM(AQ86:AT86)</f>
        <v>0</v>
      </c>
      <c r="AQ86" s="491"/>
      <c r="AR86" s="491"/>
      <c r="AS86" s="491"/>
      <c r="AT86" s="491"/>
      <c r="AU86" s="494">
        <f t="shared" ref="AU86:AU87" si="214">SUM(AV86:AY86)</f>
        <v>0</v>
      </c>
      <c r="AV86" s="491"/>
      <c r="AW86" s="491"/>
      <c r="AX86" s="491"/>
      <c r="AY86" s="491"/>
      <c r="AZ86" s="494">
        <f t="shared" ref="AZ86:AZ87" si="215">SUM(BA86:BD86)</f>
        <v>0</v>
      </c>
      <c r="BA86" s="491"/>
      <c r="BB86" s="491"/>
      <c r="BC86" s="491"/>
      <c r="BD86" s="491"/>
      <c r="BE86" s="494">
        <f t="shared" ref="BE86:BE87" si="216">SUM(BF86:BI86)</f>
        <v>0</v>
      </c>
      <c r="BF86" s="491"/>
      <c r="BG86" s="491"/>
      <c r="BH86" s="491"/>
      <c r="BI86" s="491"/>
      <c r="BJ86" s="494">
        <f t="shared" ref="BJ86:BJ87" si="217">SUM(BK86:BN86)</f>
        <v>0</v>
      </c>
      <c r="BK86" s="491"/>
      <c r="BL86" s="491"/>
      <c r="BM86" s="491"/>
      <c r="BN86" s="491"/>
      <c r="BO86" s="494">
        <f t="shared" ref="BO86:BO87" si="218">SUM(BP86:BS86)</f>
        <v>0</v>
      </c>
      <c r="BP86" s="491"/>
      <c r="BQ86" s="491"/>
      <c r="BR86" s="491"/>
      <c r="BS86" s="491"/>
      <c r="BT86" s="494">
        <f t="shared" ref="BT86:BT87" si="219">SUM(BU86:BX86)</f>
        <v>0</v>
      </c>
      <c r="BU86" s="491"/>
      <c r="BV86" s="491"/>
      <c r="BW86" s="491"/>
      <c r="BX86" s="491"/>
      <c r="BY86" s="494">
        <f t="shared" ref="BY86:BY87" si="220">SUM(BZ86:CC86)</f>
        <v>0</v>
      </c>
      <c r="BZ86" s="491"/>
      <c r="CA86" s="491"/>
      <c r="CB86" s="491"/>
      <c r="CC86" s="491"/>
      <c r="CD86" s="494">
        <f t="shared" ref="CD86:CD87" si="221">SUM(CE86:CH86)</f>
        <v>0</v>
      </c>
      <c r="CE86" s="491"/>
      <c r="CF86" s="491"/>
      <c r="CG86" s="491"/>
      <c r="CH86" s="491"/>
      <c r="CI86" s="501">
        <f t="shared" ref="CI86:CI87" si="222">AA86+AF86+AK86</f>
        <v>997.4</v>
      </c>
      <c r="CJ86" s="492">
        <f t="shared" ref="CJ86" si="223">AB86+AG86+AL86</f>
        <v>0</v>
      </c>
      <c r="CK86" s="492">
        <f t="shared" ref="CK86:CK87" si="224">AC86+AH86+AM86</f>
        <v>0</v>
      </c>
      <c r="CL86" s="492">
        <f t="shared" ref="CL86:CL87" si="225">AD86+AI86+AN86</f>
        <v>0</v>
      </c>
      <c r="CM86" s="492">
        <f t="shared" ref="CM86:CM87" si="226">AE86+AJ86+AO86</f>
        <v>997.4</v>
      </c>
      <c r="CN86" s="501">
        <f t="shared" ref="CN86:CR87" si="227">AA86+AF86+AK86+AP86+AU86+AZ86+BE86+BJ86+BO86+BT86+BY86+CD86</f>
        <v>997.4</v>
      </c>
      <c r="CO86" s="492">
        <f t="shared" si="227"/>
        <v>0</v>
      </c>
      <c r="CP86" s="492">
        <f t="shared" si="227"/>
        <v>0</v>
      </c>
      <c r="CQ86" s="492">
        <f t="shared" si="227"/>
        <v>0</v>
      </c>
      <c r="CR86" s="492">
        <f t="shared" si="227"/>
        <v>997.4</v>
      </c>
      <c r="CS86" s="424">
        <f>CN86-CO86-CP86-CQ86-CR86</f>
        <v>0</v>
      </c>
      <c r="CT86" s="14"/>
    </row>
    <row r="87" spans="1:98" s="4" customFormat="1" ht="144" x14ac:dyDescent="0.3">
      <c r="A87" s="729"/>
      <c r="B87" s="866"/>
      <c r="C87" s="483" t="s">
        <v>1280</v>
      </c>
      <c r="D87" s="476" t="s">
        <v>139</v>
      </c>
      <c r="E87" s="502" t="s">
        <v>52</v>
      </c>
      <c r="F87" s="61" t="s">
        <v>1143</v>
      </c>
      <c r="G87" s="503" t="s">
        <v>31</v>
      </c>
      <c r="H87" s="527"/>
      <c r="I87" s="503">
        <v>1</v>
      </c>
      <c r="J87" s="637">
        <v>1</v>
      </c>
      <c r="K87" s="503">
        <v>1</v>
      </c>
      <c r="L87" s="637">
        <v>1</v>
      </c>
      <c r="M87" s="643">
        <v>1</v>
      </c>
      <c r="N87" s="598" t="s">
        <v>1516</v>
      </c>
      <c r="O87" s="617" t="s">
        <v>1623</v>
      </c>
      <c r="P87" s="542"/>
      <c r="Q87" s="503">
        <v>1</v>
      </c>
      <c r="R87" s="503">
        <v>1</v>
      </c>
      <c r="S87" s="503">
        <v>1</v>
      </c>
      <c r="T87" s="503">
        <v>1</v>
      </c>
      <c r="U87" s="503">
        <v>1</v>
      </c>
      <c r="V87" s="503">
        <v>1</v>
      </c>
      <c r="W87" s="503">
        <v>1</v>
      </c>
      <c r="X87" s="503">
        <v>1</v>
      </c>
      <c r="Y87" s="503">
        <v>1</v>
      </c>
      <c r="Z87" s="503">
        <v>1</v>
      </c>
      <c r="AA87" s="494">
        <f t="shared" si="206"/>
        <v>729.8</v>
      </c>
      <c r="AB87" s="491"/>
      <c r="AC87" s="491"/>
      <c r="AD87" s="491"/>
      <c r="AE87" s="491">
        <v>729.8</v>
      </c>
      <c r="AF87" s="494">
        <f t="shared" si="207"/>
        <v>0</v>
      </c>
      <c r="AG87" s="491"/>
      <c r="AH87" s="491"/>
      <c r="AI87" s="491"/>
      <c r="AJ87" s="491"/>
      <c r="AK87" s="494">
        <f t="shared" si="208"/>
        <v>0</v>
      </c>
      <c r="AL87" s="491"/>
      <c r="AM87" s="491"/>
      <c r="AN87" s="491"/>
      <c r="AO87" s="491"/>
      <c r="AP87" s="494">
        <f t="shared" si="213"/>
        <v>0</v>
      </c>
      <c r="AQ87" s="491"/>
      <c r="AR87" s="491"/>
      <c r="AS87" s="491"/>
      <c r="AT87" s="491"/>
      <c r="AU87" s="494">
        <f t="shared" si="214"/>
        <v>0</v>
      </c>
      <c r="AV87" s="491"/>
      <c r="AW87" s="491"/>
      <c r="AX87" s="491"/>
      <c r="AY87" s="491"/>
      <c r="AZ87" s="494">
        <f t="shared" si="215"/>
        <v>0</v>
      </c>
      <c r="BA87" s="491"/>
      <c r="BB87" s="491"/>
      <c r="BC87" s="491"/>
      <c r="BD87" s="491"/>
      <c r="BE87" s="494">
        <f t="shared" si="216"/>
        <v>0</v>
      </c>
      <c r="BF87" s="491"/>
      <c r="BG87" s="491"/>
      <c r="BH87" s="491"/>
      <c r="BI87" s="491"/>
      <c r="BJ87" s="494">
        <f t="shared" si="217"/>
        <v>0</v>
      </c>
      <c r="BK87" s="491"/>
      <c r="BL87" s="491"/>
      <c r="BM87" s="491"/>
      <c r="BN87" s="491"/>
      <c r="BO87" s="494">
        <f t="shared" si="218"/>
        <v>0</v>
      </c>
      <c r="BP87" s="491"/>
      <c r="BQ87" s="491"/>
      <c r="BR87" s="491"/>
      <c r="BS87" s="491"/>
      <c r="BT87" s="494">
        <f t="shared" si="219"/>
        <v>0</v>
      </c>
      <c r="BU87" s="491"/>
      <c r="BV87" s="491"/>
      <c r="BW87" s="491"/>
      <c r="BX87" s="491"/>
      <c r="BY87" s="494">
        <f t="shared" si="220"/>
        <v>0</v>
      </c>
      <c r="BZ87" s="491"/>
      <c r="CA87" s="491"/>
      <c r="CB87" s="491"/>
      <c r="CC87" s="491"/>
      <c r="CD87" s="494">
        <f t="shared" si="221"/>
        <v>0</v>
      </c>
      <c r="CE87" s="491"/>
      <c r="CF87" s="491"/>
      <c r="CG87" s="491"/>
      <c r="CH87" s="491"/>
      <c r="CI87" s="501">
        <f t="shared" si="222"/>
        <v>729.8</v>
      </c>
      <c r="CJ87" s="492">
        <f>AB87+AG87+AL87</f>
        <v>0</v>
      </c>
      <c r="CK87" s="492">
        <f t="shared" si="224"/>
        <v>0</v>
      </c>
      <c r="CL87" s="492">
        <f t="shared" si="225"/>
        <v>0</v>
      </c>
      <c r="CM87" s="492">
        <f t="shared" si="226"/>
        <v>729.8</v>
      </c>
      <c r="CN87" s="501">
        <f t="shared" si="227"/>
        <v>729.8</v>
      </c>
      <c r="CO87" s="492">
        <f t="shared" si="227"/>
        <v>0</v>
      </c>
      <c r="CP87" s="492">
        <f t="shared" si="227"/>
        <v>0</v>
      </c>
      <c r="CQ87" s="492">
        <f t="shared" si="227"/>
        <v>0</v>
      </c>
      <c r="CR87" s="492">
        <f t="shared" si="227"/>
        <v>729.8</v>
      </c>
      <c r="CS87" s="424">
        <f>CN87-CO87-CP87-CQ87-CR87</f>
        <v>0</v>
      </c>
      <c r="CT87" s="14"/>
    </row>
    <row r="88" spans="1:98" ht="51.75" customHeight="1" x14ac:dyDescent="0.3">
      <c r="A88" s="363" t="s">
        <v>174</v>
      </c>
      <c r="B88" s="824" t="s">
        <v>175</v>
      </c>
      <c r="C88" s="824"/>
      <c r="D88" s="824"/>
      <c r="E88" s="824"/>
      <c r="F88" s="824"/>
      <c r="G88" s="824"/>
      <c r="H88" s="824"/>
      <c r="I88" s="824"/>
      <c r="J88" s="824"/>
      <c r="K88" s="824"/>
      <c r="L88" s="824"/>
      <c r="M88" s="824"/>
      <c r="N88" s="824"/>
      <c r="O88" s="824"/>
      <c r="P88" s="824"/>
      <c r="Q88" s="824"/>
      <c r="R88" s="824"/>
      <c r="S88" s="824"/>
      <c r="T88" s="824"/>
      <c r="U88" s="824"/>
      <c r="V88" s="824"/>
      <c r="W88" s="824"/>
      <c r="X88" s="824"/>
      <c r="Y88" s="824"/>
      <c r="Z88" s="824"/>
      <c r="AA88" s="824"/>
      <c r="AB88" s="824"/>
      <c r="AC88" s="824"/>
      <c r="AD88" s="824"/>
      <c r="AE88" s="824"/>
      <c r="AF88" s="824"/>
      <c r="AG88" s="824"/>
      <c r="AH88" s="824"/>
      <c r="AI88" s="824"/>
      <c r="AJ88" s="824"/>
      <c r="AK88" s="824"/>
      <c r="AL88" s="824"/>
      <c r="AM88" s="824"/>
      <c r="AN88" s="824"/>
      <c r="AO88" s="824"/>
      <c r="AP88" s="824"/>
      <c r="AQ88" s="824"/>
      <c r="AR88" s="824"/>
      <c r="AS88" s="824"/>
      <c r="AT88" s="824"/>
      <c r="AU88" s="824"/>
      <c r="AV88" s="824"/>
      <c r="AW88" s="824"/>
      <c r="AX88" s="824"/>
      <c r="AY88" s="824"/>
      <c r="AZ88" s="824"/>
      <c r="BA88" s="824"/>
      <c r="BB88" s="824"/>
      <c r="BC88" s="824"/>
      <c r="BD88" s="824"/>
      <c r="BE88" s="824"/>
      <c r="BF88" s="824"/>
      <c r="BG88" s="824"/>
      <c r="BH88" s="824"/>
      <c r="BI88" s="824"/>
      <c r="BJ88" s="824"/>
      <c r="BK88" s="824"/>
      <c r="BL88" s="824"/>
      <c r="BM88" s="824"/>
      <c r="BN88" s="824"/>
      <c r="BO88" s="824"/>
      <c r="BP88" s="824"/>
      <c r="BQ88" s="824"/>
      <c r="BR88" s="824"/>
      <c r="BS88" s="824"/>
      <c r="BT88" s="824"/>
      <c r="BU88" s="824"/>
      <c r="BV88" s="824"/>
      <c r="BW88" s="824"/>
      <c r="BX88" s="824"/>
      <c r="BY88" s="824"/>
      <c r="BZ88" s="824"/>
      <c r="CA88" s="824"/>
      <c r="CB88" s="824"/>
      <c r="CC88" s="824"/>
      <c r="CD88" s="824"/>
      <c r="CE88" s="824"/>
      <c r="CF88" s="824"/>
      <c r="CG88" s="824"/>
      <c r="CH88" s="824"/>
      <c r="CI88" s="824"/>
      <c r="CJ88" s="824"/>
      <c r="CK88" s="824"/>
      <c r="CL88" s="824"/>
      <c r="CM88" s="824"/>
      <c r="CN88" s="56">
        <f>CN89+CN104</f>
        <v>6340977.6000000006</v>
      </c>
      <c r="CO88" s="56">
        <f t="shared" ref="CO88:CS88" si="228">CO89+CO104</f>
        <v>526308.00000000012</v>
      </c>
      <c r="CP88" s="56">
        <f t="shared" si="228"/>
        <v>3789426</v>
      </c>
      <c r="CQ88" s="56">
        <f t="shared" si="228"/>
        <v>0</v>
      </c>
      <c r="CR88" s="56">
        <f t="shared" si="228"/>
        <v>1055300</v>
      </c>
      <c r="CS88" s="273">
        <f t="shared" si="228"/>
        <v>969943.60000000102</v>
      </c>
    </row>
    <row r="89" spans="1:98" x14ac:dyDescent="0.3">
      <c r="A89" s="362" t="s">
        <v>176</v>
      </c>
      <c r="B89" s="813" t="s">
        <v>177</v>
      </c>
      <c r="C89" s="813"/>
      <c r="D89" s="813"/>
      <c r="E89" s="813"/>
      <c r="F89" s="813"/>
      <c r="G89" s="813"/>
      <c r="H89" s="813"/>
      <c r="I89" s="813"/>
      <c r="J89" s="813"/>
      <c r="K89" s="813"/>
      <c r="L89" s="813"/>
      <c r="M89" s="813"/>
      <c r="N89" s="813"/>
      <c r="O89" s="813"/>
      <c r="P89" s="813"/>
      <c r="Q89" s="813"/>
      <c r="R89" s="813"/>
      <c r="S89" s="813"/>
      <c r="T89" s="813"/>
      <c r="U89" s="813"/>
      <c r="V89" s="813"/>
      <c r="W89" s="813"/>
      <c r="X89" s="813"/>
      <c r="Y89" s="813"/>
      <c r="Z89" s="813"/>
      <c r="AA89" s="813"/>
      <c r="AB89" s="813"/>
      <c r="AC89" s="813"/>
      <c r="AD89" s="813"/>
      <c r="AE89" s="813"/>
      <c r="AF89" s="813"/>
      <c r="AG89" s="813"/>
      <c r="AH89" s="813"/>
      <c r="AI89" s="813"/>
      <c r="AJ89" s="813"/>
      <c r="AK89" s="813"/>
      <c r="AL89" s="813"/>
      <c r="AM89" s="813"/>
      <c r="AN89" s="813"/>
      <c r="AO89" s="813"/>
      <c r="AP89" s="813"/>
      <c r="AQ89" s="813"/>
      <c r="AR89" s="813"/>
      <c r="AS89" s="813"/>
      <c r="AT89" s="813"/>
      <c r="AU89" s="813"/>
      <c r="AV89" s="813"/>
      <c r="AW89" s="813"/>
      <c r="AX89" s="813"/>
      <c r="AY89" s="813"/>
      <c r="AZ89" s="813"/>
      <c r="BA89" s="813"/>
      <c r="BB89" s="813"/>
      <c r="BC89" s="813"/>
      <c r="BD89" s="813"/>
      <c r="BE89" s="813"/>
      <c r="BF89" s="813"/>
      <c r="BG89" s="813"/>
      <c r="BH89" s="813"/>
      <c r="BI89" s="813"/>
      <c r="BJ89" s="813"/>
      <c r="BK89" s="813"/>
      <c r="BL89" s="813"/>
      <c r="BM89" s="813"/>
      <c r="BN89" s="813"/>
      <c r="BO89" s="813"/>
      <c r="BP89" s="813"/>
      <c r="BQ89" s="813"/>
      <c r="BR89" s="813"/>
      <c r="BS89" s="813"/>
      <c r="BT89" s="813"/>
      <c r="BU89" s="813"/>
      <c r="BV89" s="813"/>
      <c r="BW89" s="813"/>
      <c r="BX89" s="813"/>
      <c r="BY89" s="813"/>
      <c r="BZ89" s="813"/>
      <c r="CA89" s="813"/>
      <c r="CB89" s="813"/>
      <c r="CC89" s="813"/>
      <c r="CD89" s="813"/>
      <c r="CE89" s="813"/>
      <c r="CF89" s="813"/>
      <c r="CG89" s="813"/>
      <c r="CH89" s="813"/>
      <c r="CI89" s="813"/>
      <c r="CJ89" s="813"/>
      <c r="CK89" s="813"/>
      <c r="CL89" s="813"/>
      <c r="CM89" s="813"/>
      <c r="CN89" s="909">
        <f>CN95+CN98+CN99+CN100+CN101+CN103</f>
        <v>4321909.8000000007</v>
      </c>
      <c r="CO89" s="909">
        <f t="shared" ref="CO89:CS89" si="229">CO95+CO98+CO99+CO100+CO101+CO103</f>
        <v>526308.00000000012</v>
      </c>
      <c r="CP89" s="909">
        <f t="shared" si="229"/>
        <v>3789426</v>
      </c>
      <c r="CQ89" s="909">
        <f t="shared" si="229"/>
        <v>0</v>
      </c>
      <c r="CR89" s="909">
        <f t="shared" si="229"/>
        <v>0</v>
      </c>
      <c r="CS89" s="775">
        <f t="shared" si="229"/>
        <v>6175.8000000009306</v>
      </c>
    </row>
    <row r="90" spans="1:98" x14ac:dyDescent="0.3">
      <c r="A90" s="362" t="s">
        <v>178</v>
      </c>
      <c r="B90" s="906" t="s">
        <v>179</v>
      </c>
      <c r="C90" s="907"/>
      <c r="D90" s="907"/>
      <c r="E90" s="907"/>
      <c r="F90" s="907"/>
      <c r="G90" s="907"/>
      <c r="H90" s="907"/>
      <c r="I90" s="907"/>
      <c r="J90" s="907"/>
      <c r="K90" s="907"/>
      <c r="L90" s="907"/>
      <c r="M90" s="907"/>
      <c r="N90" s="907"/>
      <c r="O90" s="907"/>
      <c r="P90" s="907"/>
      <c r="Q90" s="907"/>
      <c r="R90" s="907"/>
      <c r="S90" s="907"/>
      <c r="T90" s="907"/>
      <c r="U90" s="907"/>
      <c r="V90" s="907"/>
      <c r="W90" s="907"/>
      <c r="X90" s="907"/>
      <c r="Y90" s="907"/>
      <c r="Z90" s="908"/>
      <c r="AA90" s="367"/>
      <c r="AB90" s="367"/>
      <c r="AC90" s="367"/>
      <c r="AD90" s="367"/>
      <c r="AE90" s="367"/>
      <c r="AF90" s="367"/>
      <c r="AG90" s="367"/>
      <c r="AH90" s="367"/>
      <c r="AI90" s="367"/>
      <c r="AJ90" s="367"/>
      <c r="AK90" s="367"/>
      <c r="AL90" s="367"/>
      <c r="AM90" s="367"/>
      <c r="AN90" s="367"/>
      <c r="AO90" s="367"/>
      <c r="AP90" s="368"/>
      <c r="AQ90" s="367"/>
      <c r="AR90" s="367"/>
      <c r="AS90" s="367"/>
      <c r="AT90" s="367"/>
      <c r="AU90" s="368"/>
      <c r="AV90" s="367"/>
      <c r="AW90" s="367"/>
      <c r="AX90" s="367"/>
      <c r="AY90" s="367"/>
      <c r="AZ90" s="368"/>
      <c r="BA90" s="367"/>
      <c r="BB90" s="367"/>
      <c r="BC90" s="367"/>
      <c r="BD90" s="367"/>
      <c r="BE90" s="368"/>
      <c r="BF90" s="367"/>
      <c r="BG90" s="367"/>
      <c r="BH90" s="367"/>
      <c r="BI90" s="367"/>
      <c r="BJ90" s="368"/>
      <c r="BK90" s="367"/>
      <c r="BL90" s="367"/>
      <c r="BM90" s="367"/>
      <c r="BN90" s="367"/>
      <c r="BO90" s="368"/>
      <c r="BP90" s="367"/>
      <c r="BQ90" s="367"/>
      <c r="BR90" s="367"/>
      <c r="BS90" s="367"/>
      <c r="BT90" s="368"/>
      <c r="BU90" s="367"/>
      <c r="BV90" s="367"/>
      <c r="BW90" s="367"/>
      <c r="BX90" s="367"/>
      <c r="BY90" s="368"/>
      <c r="BZ90" s="367"/>
      <c r="CA90" s="367"/>
      <c r="CB90" s="367"/>
      <c r="CC90" s="367"/>
      <c r="CD90" s="368"/>
      <c r="CE90" s="367"/>
      <c r="CF90" s="367"/>
      <c r="CG90" s="367"/>
      <c r="CH90" s="367"/>
      <c r="CI90" s="367"/>
      <c r="CJ90" s="367"/>
      <c r="CK90" s="367"/>
      <c r="CL90" s="367"/>
      <c r="CM90" s="367"/>
      <c r="CN90" s="910"/>
      <c r="CO90" s="910"/>
      <c r="CP90" s="910"/>
      <c r="CQ90" s="910"/>
      <c r="CR90" s="910"/>
      <c r="CS90" s="823"/>
    </row>
    <row r="91" spans="1:98" x14ac:dyDescent="0.3">
      <c r="A91" s="362" t="s">
        <v>180</v>
      </c>
      <c r="B91" s="813" t="s">
        <v>181</v>
      </c>
      <c r="C91" s="813"/>
      <c r="D91" s="813"/>
      <c r="E91" s="813"/>
      <c r="F91" s="813"/>
      <c r="G91" s="813"/>
      <c r="H91" s="813"/>
      <c r="I91" s="813"/>
      <c r="J91" s="813"/>
      <c r="K91" s="813"/>
      <c r="L91" s="813"/>
      <c r="M91" s="813"/>
      <c r="N91" s="813"/>
      <c r="O91" s="813"/>
      <c r="P91" s="813"/>
      <c r="Q91" s="813"/>
      <c r="R91" s="813"/>
      <c r="S91" s="813"/>
      <c r="T91" s="813"/>
      <c r="U91" s="813"/>
      <c r="V91" s="813"/>
      <c r="W91" s="813"/>
      <c r="X91" s="813"/>
      <c r="Y91" s="813"/>
      <c r="Z91" s="813"/>
      <c r="AA91" s="813"/>
      <c r="AB91" s="813"/>
      <c r="AC91" s="813"/>
      <c r="AD91" s="813"/>
      <c r="AE91" s="813"/>
      <c r="AF91" s="813"/>
      <c r="AG91" s="813"/>
      <c r="AH91" s="813"/>
      <c r="AI91" s="813"/>
      <c r="AJ91" s="813"/>
      <c r="AK91" s="813"/>
      <c r="AL91" s="813"/>
      <c r="AM91" s="813"/>
      <c r="AN91" s="813"/>
      <c r="AO91" s="813"/>
      <c r="AP91" s="813"/>
      <c r="AQ91" s="813"/>
      <c r="AR91" s="813"/>
      <c r="AS91" s="813"/>
      <c r="AT91" s="813"/>
      <c r="AU91" s="813"/>
      <c r="AV91" s="813"/>
      <c r="AW91" s="813"/>
      <c r="AX91" s="813"/>
      <c r="AY91" s="813"/>
      <c r="AZ91" s="813"/>
      <c r="BA91" s="813"/>
      <c r="BB91" s="813"/>
      <c r="BC91" s="813"/>
      <c r="BD91" s="813"/>
      <c r="BE91" s="813"/>
      <c r="BF91" s="813"/>
      <c r="BG91" s="813"/>
      <c r="BH91" s="813"/>
      <c r="BI91" s="813"/>
      <c r="BJ91" s="813"/>
      <c r="BK91" s="813"/>
      <c r="BL91" s="813"/>
      <c r="BM91" s="813"/>
      <c r="BN91" s="813"/>
      <c r="BO91" s="813"/>
      <c r="BP91" s="813"/>
      <c r="BQ91" s="813"/>
      <c r="BR91" s="813"/>
      <c r="BS91" s="813"/>
      <c r="BT91" s="813"/>
      <c r="BU91" s="813"/>
      <c r="BV91" s="813"/>
      <c r="BW91" s="813"/>
      <c r="BX91" s="813"/>
      <c r="BY91" s="813"/>
      <c r="BZ91" s="813"/>
      <c r="CA91" s="813"/>
      <c r="CB91" s="813"/>
      <c r="CC91" s="813"/>
      <c r="CD91" s="813"/>
      <c r="CE91" s="813"/>
      <c r="CF91" s="813"/>
      <c r="CG91" s="813"/>
      <c r="CH91" s="813"/>
      <c r="CI91" s="813"/>
      <c r="CJ91" s="813"/>
      <c r="CK91" s="813"/>
      <c r="CL91" s="813"/>
      <c r="CM91" s="813"/>
      <c r="CN91" s="910"/>
      <c r="CO91" s="910"/>
      <c r="CP91" s="910"/>
      <c r="CQ91" s="910"/>
      <c r="CR91" s="910"/>
      <c r="CS91" s="823"/>
    </row>
    <row r="92" spans="1:98" x14ac:dyDescent="0.3">
      <c r="A92" s="362" t="s">
        <v>182</v>
      </c>
      <c r="B92" s="813" t="s">
        <v>183</v>
      </c>
      <c r="C92" s="813"/>
      <c r="D92" s="813"/>
      <c r="E92" s="813"/>
      <c r="F92" s="813"/>
      <c r="G92" s="813"/>
      <c r="H92" s="813"/>
      <c r="I92" s="813"/>
      <c r="J92" s="813"/>
      <c r="K92" s="813"/>
      <c r="L92" s="813"/>
      <c r="M92" s="813"/>
      <c r="N92" s="813"/>
      <c r="O92" s="813"/>
      <c r="P92" s="813"/>
      <c r="Q92" s="813"/>
      <c r="R92" s="813"/>
      <c r="S92" s="813"/>
      <c r="T92" s="813"/>
      <c r="U92" s="813"/>
      <c r="V92" s="813"/>
      <c r="W92" s="813"/>
      <c r="X92" s="813"/>
      <c r="Y92" s="813"/>
      <c r="Z92" s="813"/>
      <c r="AA92" s="813"/>
      <c r="AB92" s="813"/>
      <c r="AC92" s="813"/>
      <c r="AD92" s="813"/>
      <c r="AE92" s="813"/>
      <c r="AF92" s="813"/>
      <c r="AG92" s="813"/>
      <c r="AH92" s="813"/>
      <c r="AI92" s="813"/>
      <c r="AJ92" s="813"/>
      <c r="AK92" s="813"/>
      <c r="AL92" s="813"/>
      <c r="AM92" s="813"/>
      <c r="AN92" s="813"/>
      <c r="AO92" s="813"/>
      <c r="AP92" s="813"/>
      <c r="AQ92" s="813"/>
      <c r="AR92" s="813"/>
      <c r="AS92" s="813"/>
      <c r="AT92" s="813"/>
      <c r="AU92" s="813"/>
      <c r="AV92" s="813"/>
      <c r="AW92" s="813"/>
      <c r="AX92" s="813"/>
      <c r="AY92" s="813"/>
      <c r="AZ92" s="813"/>
      <c r="BA92" s="813"/>
      <c r="BB92" s="813"/>
      <c r="BC92" s="813"/>
      <c r="BD92" s="813"/>
      <c r="BE92" s="813"/>
      <c r="BF92" s="813"/>
      <c r="BG92" s="813"/>
      <c r="BH92" s="813"/>
      <c r="BI92" s="813"/>
      <c r="BJ92" s="813"/>
      <c r="BK92" s="813"/>
      <c r="BL92" s="813"/>
      <c r="BM92" s="813"/>
      <c r="BN92" s="813"/>
      <c r="BO92" s="813"/>
      <c r="BP92" s="813"/>
      <c r="BQ92" s="813"/>
      <c r="BR92" s="813"/>
      <c r="BS92" s="813"/>
      <c r="BT92" s="813"/>
      <c r="BU92" s="813"/>
      <c r="BV92" s="813"/>
      <c r="BW92" s="813"/>
      <c r="BX92" s="813"/>
      <c r="BY92" s="813"/>
      <c r="BZ92" s="813"/>
      <c r="CA92" s="813"/>
      <c r="CB92" s="813"/>
      <c r="CC92" s="813"/>
      <c r="CD92" s="813"/>
      <c r="CE92" s="813"/>
      <c r="CF92" s="813"/>
      <c r="CG92" s="813"/>
      <c r="CH92" s="813"/>
      <c r="CI92" s="813"/>
      <c r="CJ92" s="813"/>
      <c r="CK92" s="813"/>
      <c r="CL92" s="813"/>
      <c r="CM92" s="813"/>
      <c r="CN92" s="910"/>
      <c r="CO92" s="910"/>
      <c r="CP92" s="910"/>
      <c r="CQ92" s="910"/>
      <c r="CR92" s="910"/>
      <c r="CS92" s="823"/>
    </row>
    <row r="93" spans="1:98" x14ac:dyDescent="0.3">
      <c r="A93" s="362" t="s">
        <v>184</v>
      </c>
      <c r="B93" s="813" t="s">
        <v>185</v>
      </c>
      <c r="C93" s="813"/>
      <c r="D93" s="813"/>
      <c r="E93" s="813"/>
      <c r="F93" s="813"/>
      <c r="G93" s="813"/>
      <c r="H93" s="813"/>
      <c r="I93" s="813"/>
      <c r="J93" s="813"/>
      <c r="K93" s="813"/>
      <c r="L93" s="813"/>
      <c r="M93" s="813"/>
      <c r="N93" s="813"/>
      <c r="O93" s="813"/>
      <c r="P93" s="813"/>
      <c r="Q93" s="813"/>
      <c r="R93" s="813"/>
      <c r="S93" s="813"/>
      <c r="T93" s="813"/>
      <c r="U93" s="813"/>
      <c r="V93" s="813"/>
      <c r="W93" s="813"/>
      <c r="X93" s="813"/>
      <c r="Y93" s="813"/>
      <c r="Z93" s="813"/>
      <c r="AA93" s="813"/>
      <c r="AB93" s="813"/>
      <c r="AC93" s="813"/>
      <c r="AD93" s="813"/>
      <c r="AE93" s="813"/>
      <c r="AF93" s="813"/>
      <c r="AG93" s="813"/>
      <c r="AH93" s="813"/>
      <c r="AI93" s="813"/>
      <c r="AJ93" s="813"/>
      <c r="AK93" s="813"/>
      <c r="AL93" s="813"/>
      <c r="AM93" s="813"/>
      <c r="AN93" s="813"/>
      <c r="AO93" s="813"/>
      <c r="AP93" s="813"/>
      <c r="AQ93" s="813"/>
      <c r="AR93" s="813"/>
      <c r="AS93" s="813"/>
      <c r="AT93" s="813"/>
      <c r="AU93" s="813"/>
      <c r="AV93" s="813"/>
      <c r="AW93" s="813"/>
      <c r="AX93" s="813"/>
      <c r="AY93" s="813"/>
      <c r="AZ93" s="813"/>
      <c r="BA93" s="813"/>
      <c r="BB93" s="813"/>
      <c r="BC93" s="813"/>
      <c r="BD93" s="813"/>
      <c r="BE93" s="813"/>
      <c r="BF93" s="813"/>
      <c r="BG93" s="813"/>
      <c r="BH93" s="813"/>
      <c r="BI93" s="813"/>
      <c r="BJ93" s="813"/>
      <c r="BK93" s="813"/>
      <c r="BL93" s="813"/>
      <c r="BM93" s="813"/>
      <c r="BN93" s="813"/>
      <c r="BO93" s="813"/>
      <c r="BP93" s="813"/>
      <c r="BQ93" s="813"/>
      <c r="BR93" s="813"/>
      <c r="BS93" s="813"/>
      <c r="BT93" s="813"/>
      <c r="BU93" s="813"/>
      <c r="BV93" s="813"/>
      <c r="BW93" s="813"/>
      <c r="BX93" s="813"/>
      <c r="BY93" s="813"/>
      <c r="BZ93" s="813"/>
      <c r="CA93" s="813"/>
      <c r="CB93" s="813"/>
      <c r="CC93" s="813"/>
      <c r="CD93" s="813"/>
      <c r="CE93" s="813"/>
      <c r="CF93" s="813"/>
      <c r="CG93" s="813"/>
      <c r="CH93" s="813"/>
      <c r="CI93" s="813"/>
      <c r="CJ93" s="813"/>
      <c r="CK93" s="813"/>
      <c r="CL93" s="813"/>
      <c r="CM93" s="813"/>
      <c r="CN93" s="910"/>
      <c r="CO93" s="910"/>
      <c r="CP93" s="910"/>
      <c r="CQ93" s="910"/>
      <c r="CR93" s="910"/>
      <c r="CS93" s="823"/>
    </row>
    <row r="94" spans="1:98" x14ac:dyDescent="0.3">
      <c r="A94" s="362" t="s">
        <v>186</v>
      </c>
      <c r="B94" s="813" t="s">
        <v>187</v>
      </c>
      <c r="C94" s="813"/>
      <c r="D94" s="813"/>
      <c r="E94" s="813"/>
      <c r="F94" s="813"/>
      <c r="G94" s="813"/>
      <c r="H94" s="813"/>
      <c r="I94" s="813"/>
      <c r="J94" s="813"/>
      <c r="K94" s="813"/>
      <c r="L94" s="813"/>
      <c r="M94" s="813"/>
      <c r="N94" s="813"/>
      <c r="O94" s="813"/>
      <c r="P94" s="813"/>
      <c r="Q94" s="813"/>
      <c r="R94" s="813"/>
      <c r="S94" s="813"/>
      <c r="T94" s="813"/>
      <c r="U94" s="813"/>
      <c r="V94" s="813"/>
      <c r="W94" s="813"/>
      <c r="X94" s="813"/>
      <c r="Y94" s="813"/>
      <c r="Z94" s="813"/>
      <c r="AA94" s="813"/>
      <c r="AB94" s="813"/>
      <c r="AC94" s="813"/>
      <c r="AD94" s="813"/>
      <c r="AE94" s="813"/>
      <c r="AF94" s="813"/>
      <c r="AG94" s="813"/>
      <c r="AH94" s="813"/>
      <c r="AI94" s="813"/>
      <c r="AJ94" s="813"/>
      <c r="AK94" s="813"/>
      <c r="AL94" s="813"/>
      <c r="AM94" s="813"/>
      <c r="AN94" s="813"/>
      <c r="AO94" s="813"/>
      <c r="AP94" s="813"/>
      <c r="AQ94" s="813"/>
      <c r="AR94" s="813"/>
      <c r="AS94" s="813"/>
      <c r="AT94" s="813"/>
      <c r="AU94" s="813"/>
      <c r="AV94" s="813"/>
      <c r="AW94" s="813"/>
      <c r="AX94" s="813"/>
      <c r="AY94" s="813"/>
      <c r="AZ94" s="813"/>
      <c r="BA94" s="813"/>
      <c r="BB94" s="813"/>
      <c r="BC94" s="813"/>
      <c r="BD94" s="813"/>
      <c r="BE94" s="813"/>
      <c r="BF94" s="813"/>
      <c r="BG94" s="813"/>
      <c r="BH94" s="813"/>
      <c r="BI94" s="813"/>
      <c r="BJ94" s="813"/>
      <c r="BK94" s="813"/>
      <c r="BL94" s="813"/>
      <c r="BM94" s="813"/>
      <c r="BN94" s="813"/>
      <c r="BO94" s="813"/>
      <c r="BP94" s="813"/>
      <c r="BQ94" s="813"/>
      <c r="BR94" s="813"/>
      <c r="BS94" s="813"/>
      <c r="BT94" s="813"/>
      <c r="BU94" s="813"/>
      <c r="BV94" s="813"/>
      <c r="BW94" s="813"/>
      <c r="BX94" s="813"/>
      <c r="BY94" s="813"/>
      <c r="BZ94" s="813"/>
      <c r="CA94" s="813"/>
      <c r="CB94" s="813"/>
      <c r="CC94" s="813"/>
      <c r="CD94" s="813"/>
      <c r="CE94" s="813"/>
      <c r="CF94" s="813"/>
      <c r="CG94" s="813"/>
      <c r="CH94" s="813"/>
      <c r="CI94" s="813"/>
      <c r="CJ94" s="813"/>
      <c r="CK94" s="813"/>
      <c r="CL94" s="813"/>
      <c r="CM94" s="813"/>
      <c r="CN94" s="911"/>
      <c r="CO94" s="911"/>
      <c r="CP94" s="911"/>
      <c r="CQ94" s="911"/>
      <c r="CR94" s="911"/>
      <c r="CS94" s="776"/>
    </row>
    <row r="95" spans="1:98" s="4" customFormat="1" ht="136.5" customHeight="1" x14ac:dyDescent="0.3">
      <c r="A95" s="896" t="s">
        <v>188</v>
      </c>
      <c r="B95" s="893" t="s">
        <v>189</v>
      </c>
      <c r="C95" s="841" t="s">
        <v>1194</v>
      </c>
      <c r="D95" s="858" t="s">
        <v>190</v>
      </c>
      <c r="E95" s="857" t="s">
        <v>52</v>
      </c>
      <c r="F95" s="46" t="s">
        <v>1055</v>
      </c>
      <c r="G95" s="316" t="s">
        <v>74</v>
      </c>
      <c r="H95" s="533">
        <v>139</v>
      </c>
      <c r="I95" s="316">
        <v>70</v>
      </c>
      <c r="J95" s="637">
        <v>70</v>
      </c>
      <c r="K95" s="316">
        <v>168</v>
      </c>
      <c r="L95" s="637">
        <v>70</v>
      </c>
      <c r="M95" s="643">
        <v>176</v>
      </c>
      <c r="N95" s="598" t="s">
        <v>1517</v>
      </c>
      <c r="O95" s="617" t="s">
        <v>1719</v>
      </c>
      <c r="P95" s="557"/>
      <c r="Q95" s="187">
        <v>70</v>
      </c>
      <c r="R95" s="187">
        <v>70</v>
      </c>
      <c r="S95" s="187">
        <v>70</v>
      </c>
      <c r="T95" s="187">
        <v>70</v>
      </c>
      <c r="U95" s="187">
        <v>70</v>
      </c>
      <c r="V95" s="187">
        <v>70</v>
      </c>
      <c r="W95" s="187">
        <v>70</v>
      </c>
      <c r="X95" s="187">
        <v>70</v>
      </c>
      <c r="Y95" s="187">
        <v>70</v>
      </c>
      <c r="Z95" s="187">
        <v>70</v>
      </c>
      <c r="AA95" s="829">
        <f>SUM(AB95:AE97)</f>
        <v>346446.4</v>
      </c>
      <c r="AB95" s="770">
        <f>30660.9</f>
        <v>30660.9</v>
      </c>
      <c r="AC95" s="770">
        <v>315785.5</v>
      </c>
      <c r="AD95" s="770"/>
      <c r="AE95" s="770"/>
      <c r="AF95" s="829">
        <f>SUM(AG95:AJ97)</f>
        <v>341615.4</v>
      </c>
      <c r="AG95" s="770">
        <f>25829.9</f>
        <v>25829.9</v>
      </c>
      <c r="AH95" s="770">
        <v>315785.5</v>
      </c>
      <c r="AI95" s="770"/>
      <c r="AJ95" s="770"/>
      <c r="AK95" s="829">
        <f>SUM(AL95:AO97)</f>
        <v>342564.2</v>
      </c>
      <c r="AL95" s="770">
        <f>26778.7</f>
        <v>26778.7</v>
      </c>
      <c r="AM95" s="770">
        <v>315785.5</v>
      </c>
      <c r="AN95" s="770"/>
      <c r="AO95" s="770"/>
      <c r="AP95" s="829">
        <f>SUM(AQ95:AT97)</f>
        <v>342564.2</v>
      </c>
      <c r="AQ95" s="770">
        <f>26778.7</f>
        <v>26778.7</v>
      </c>
      <c r="AR95" s="770">
        <v>315785.5</v>
      </c>
      <c r="AS95" s="770"/>
      <c r="AT95" s="770"/>
      <c r="AU95" s="829">
        <f>SUM(AV95:AY97)</f>
        <v>342564.2</v>
      </c>
      <c r="AV95" s="770">
        <f>26778.7</f>
        <v>26778.7</v>
      </c>
      <c r="AW95" s="770">
        <v>315785.5</v>
      </c>
      <c r="AX95" s="770"/>
      <c r="AY95" s="770"/>
      <c r="AZ95" s="829">
        <f>SUM(BA95:BD97)</f>
        <v>342564.2</v>
      </c>
      <c r="BA95" s="770">
        <f>26778.7</f>
        <v>26778.7</v>
      </c>
      <c r="BB95" s="770">
        <v>315785.5</v>
      </c>
      <c r="BC95" s="770"/>
      <c r="BD95" s="770"/>
      <c r="BE95" s="829">
        <f>SUM(BF95:BI97)</f>
        <v>342564.2</v>
      </c>
      <c r="BF95" s="770">
        <f>26778.7</f>
        <v>26778.7</v>
      </c>
      <c r="BG95" s="770">
        <v>315785.5</v>
      </c>
      <c r="BH95" s="770"/>
      <c r="BI95" s="770"/>
      <c r="BJ95" s="829">
        <f>SUM(BK95:BN97)</f>
        <v>342564.2</v>
      </c>
      <c r="BK95" s="770">
        <f>26778.7</f>
        <v>26778.7</v>
      </c>
      <c r="BL95" s="770">
        <v>315785.5</v>
      </c>
      <c r="BM95" s="770"/>
      <c r="BN95" s="770"/>
      <c r="BO95" s="829">
        <f>SUM(BP95:BS97)</f>
        <v>342564.2</v>
      </c>
      <c r="BP95" s="770">
        <f>26778.7</f>
        <v>26778.7</v>
      </c>
      <c r="BQ95" s="770">
        <v>315785.5</v>
      </c>
      <c r="BR95" s="770"/>
      <c r="BS95" s="770"/>
      <c r="BT95" s="829">
        <f>SUM(BU95:BX97)</f>
        <v>342564.2</v>
      </c>
      <c r="BU95" s="770">
        <f>26778.7</f>
        <v>26778.7</v>
      </c>
      <c r="BV95" s="770">
        <v>315785.5</v>
      </c>
      <c r="BW95" s="770"/>
      <c r="BX95" s="770"/>
      <c r="BY95" s="829">
        <f>SUM(BZ95:CC97)</f>
        <v>342564.2</v>
      </c>
      <c r="BZ95" s="770">
        <f>26778.7</f>
        <v>26778.7</v>
      </c>
      <c r="CA95" s="770">
        <v>315785.5</v>
      </c>
      <c r="CB95" s="770"/>
      <c r="CC95" s="770"/>
      <c r="CD95" s="829">
        <f>SUM(CE95:CH97)</f>
        <v>342564.2</v>
      </c>
      <c r="CE95" s="770">
        <f>26778.7</f>
        <v>26778.7</v>
      </c>
      <c r="CF95" s="770">
        <v>315785.5</v>
      </c>
      <c r="CG95" s="770"/>
      <c r="CH95" s="770"/>
      <c r="CI95" s="829">
        <f t="shared" ref="CI95" si="230">AA95+AF95+AK95</f>
        <v>1030626</v>
      </c>
      <c r="CJ95" s="770">
        <f t="shared" ref="CJ95" si="231">AB95+AG95+AL95</f>
        <v>83269.5</v>
      </c>
      <c r="CK95" s="770">
        <f t="shared" ref="CK95" si="232">AC95+AH95+AM95</f>
        <v>947356.5</v>
      </c>
      <c r="CL95" s="770">
        <f t="shared" ref="CL95" si="233">AD95+AI95+AN95</f>
        <v>0</v>
      </c>
      <c r="CM95" s="770">
        <f t="shared" ref="CM95" si="234">AE95+AJ95+AO95</f>
        <v>0</v>
      </c>
      <c r="CN95" s="855">
        <f>AA95+AF95+AK95+AP95+AU95+AZ95+BE95+BJ95+BO95+BT95+BY95+CD95</f>
        <v>4113703.8000000007</v>
      </c>
      <c r="CO95" s="828">
        <f>AB95+AG95+AL95+AQ95+AV95+BA95+BF95+BK95+BP95+BU95+BZ95+CE95</f>
        <v>324277.80000000005</v>
      </c>
      <c r="CP95" s="828">
        <f>AC95+AH95+AM95+AR95+AW95+BB95+BG95+BL95+BQ95+BV95+CA95+CF95</f>
        <v>3789426</v>
      </c>
      <c r="CQ95" s="828">
        <f>AD95+AI95+AN95+AS95+AX95+BC95+BH95+BM95+BR95+BW95+CB95+CG95</f>
        <v>0</v>
      </c>
      <c r="CR95" s="828">
        <f>AE95+AJ95+AO95+AT95+AY95+BD95+BI95+BN95+BS95+BX95+CC95+CH95</f>
        <v>0</v>
      </c>
      <c r="CS95" s="819">
        <f>CN95-CO95-CP95-CQ95-CR95</f>
        <v>9.3132257461547852E-10</v>
      </c>
      <c r="CT95" s="14"/>
    </row>
    <row r="96" spans="1:98" s="4" customFormat="1" ht="192" x14ac:dyDescent="0.3">
      <c r="A96" s="896"/>
      <c r="B96" s="893"/>
      <c r="C96" s="841"/>
      <c r="D96" s="858"/>
      <c r="E96" s="857"/>
      <c r="F96" s="49" t="s">
        <v>1219</v>
      </c>
      <c r="G96" s="69" t="s">
        <v>62</v>
      </c>
      <c r="H96" s="533" t="s">
        <v>140</v>
      </c>
      <c r="I96" s="316">
        <v>17.600000000000001</v>
      </c>
      <c r="J96" s="637">
        <v>17.600000000000001</v>
      </c>
      <c r="K96" s="316">
        <v>16.2</v>
      </c>
      <c r="L96" s="637">
        <v>17.600000000000001</v>
      </c>
      <c r="M96" s="643">
        <v>15.6</v>
      </c>
      <c r="N96" s="592" t="s">
        <v>1518</v>
      </c>
      <c r="O96" s="615" t="s">
        <v>1659</v>
      </c>
      <c r="P96" s="556"/>
      <c r="Q96" s="187">
        <v>17.600000000000001</v>
      </c>
      <c r="R96" s="187">
        <v>17.600000000000001</v>
      </c>
      <c r="S96" s="187">
        <v>17.600000000000001</v>
      </c>
      <c r="T96" s="187">
        <v>17.600000000000001</v>
      </c>
      <c r="U96" s="187">
        <v>17.600000000000001</v>
      </c>
      <c r="V96" s="187">
        <v>17.600000000000001</v>
      </c>
      <c r="W96" s="187">
        <v>17.600000000000001</v>
      </c>
      <c r="X96" s="187">
        <v>17.600000000000001</v>
      </c>
      <c r="Y96" s="187">
        <v>17.600000000000001</v>
      </c>
      <c r="Z96" s="187">
        <v>17.600000000000001</v>
      </c>
      <c r="AA96" s="829"/>
      <c r="AB96" s="770"/>
      <c r="AC96" s="770"/>
      <c r="AD96" s="770"/>
      <c r="AE96" s="770"/>
      <c r="AF96" s="829"/>
      <c r="AG96" s="770"/>
      <c r="AH96" s="770"/>
      <c r="AI96" s="770"/>
      <c r="AJ96" s="770"/>
      <c r="AK96" s="829"/>
      <c r="AL96" s="770"/>
      <c r="AM96" s="770"/>
      <c r="AN96" s="770"/>
      <c r="AO96" s="770"/>
      <c r="AP96" s="829"/>
      <c r="AQ96" s="770"/>
      <c r="AR96" s="770"/>
      <c r="AS96" s="770"/>
      <c r="AT96" s="770"/>
      <c r="AU96" s="829"/>
      <c r="AV96" s="770"/>
      <c r="AW96" s="770"/>
      <c r="AX96" s="770"/>
      <c r="AY96" s="770"/>
      <c r="AZ96" s="829"/>
      <c r="BA96" s="770"/>
      <c r="BB96" s="770"/>
      <c r="BC96" s="770"/>
      <c r="BD96" s="770"/>
      <c r="BE96" s="829"/>
      <c r="BF96" s="770"/>
      <c r="BG96" s="770"/>
      <c r="BH96" s="770"/>
      <c r="BI96" s="770"/>
      <c r="BJ96" s="829"/>
      <c r="BK96" s="770"/>
      <c r="BL96" s="770"/>
      <c r="BM96" s="770"/>
      <c r="BN96" s="770"/>
      <c r="BO96" s="829"/>
      <c r="BP96" s="770"/>
      <c r="BQ96" s="770"/>
      <c r="BR96" s="770"/>
      <c r="BS96" s="770"/>
      <c r="BT96" s="829"/>
      <c r="BU96" s="770"/>
      <c r="BV96" s="770"/>
      <c r="BW96" s="770"/>
      <c r="BX96" s="770"/>
      <c r="BY96" s="829"/>
      <c r="BZ96" s="770"/>
      <c r="CA96" s="770"/>
      <c r="CB96" s="770"/>
      <c r="CC96" s="770"/>
      <c r="CD96" s="829"/>
      <c r="CE96" s="770"/>
      <c r="CF96" s="770"/>
      <c r="CG96" s="770"/>
      <c r="CH96" s="770"/>
      <c r="CI96" s="829"/>
      <c r="CJ96" s="770"/>
      <c r="CK96" s="770"/>
      <c r="CL96" s="770"/>
      <c r="CM96" s="770"/>
      <c r="CN96" s="855"/>
      <c r="CO96" s="828"/>
      <c r="CP96" s="828"/>
      <c r="CQ96" s="828"/>
      <c r="CR96" s="828"/>
      <c r="CS96" s="819"/>
      <c r="CT96" s="14"/>
    </row>
    <row r="97" spans="1:98" s="4" customFormat="1" ht="132" customHeight="1" x14ac:dyDescent="0.3">
      <c r="A97" s="896"/>
      <c r="B97" s="893"/>
      <c r="C97" s="841"/>
      <c r="D97" s="858"/>
      <c r="E97" s="857"/>
      <c r="F97" s="841" t="s">
        <v>191</v>
      </c>
      <c r="G97" s="858" t="s">
        <v>62</v>
      </c>
      <c r="H97" s="858" t="s">
        <v>140</v>
      </c>
      <c r="I97" s="858">
        <v>24</v>
      </c>
      <c r="J97" s="732">
        <v>30</v>
      </c>
      <c r="K97" s="732">
        <v>56</v>
      </c>
      <c r="L97" s="732">
        <v>40</v>
      </c>
      <c r="M97" s="733">
        <v>67.400000000000006</v>
      </c>
      <c r="N97" s="761" t="s">
        <v>1519</v>
      </c>
      <c r="O97" s="777"/>
      <c r="P97" s="550"/>
      <c r="Q97" s="728">
        <v>40</v>
      </c>
      <c r="R97" s="728">
        <v>50</v>
      </c>
      <c r="S97" s="728">
        <v>60</v>
      </c>
      <c r="T97" s="728">
        <v>70</v>
      </c>
      <c r="U97" s="728">
        <v>80</v>
      </c>
      <c r="V97" s="728">
        <v>90</v>
      </c>
      <c r="W97" s="728">
        <v>90</v>
      </c>
      <c r="X97" s="728">
        <v>90</v>
      </c>
      <c r="Y97" s="728">
        <v>90</v>
      </c>
      <c r="Z97" s="728">
        <v>90</v>
      </c>
      <c r="AA97" s="829"/>
      <c r="AB97" s="770"/>
      <c r="AC97" s="770"/>
      <c r="AD97" s="770"/>
      <c r="AE97" s="770"/>
      <c r="AF97" s="829"/>
      <c r="AG97" s="770"/>
      <c r="AH97" s="770"/>
      <c r="AI97" s="770"/>
      <c r="AJ97" s="770"/>
      <c r="AK97" s="829"/>
      <c r="AL97" s="770"/>
      <c r="AM97" s="770"/>
      <c r="AN97" s="770"/>
      <c r="AO97" s="770"/>
      <c r="AP97" s="829"/>
      <c r="AQ97" s="770"/>
      <c r="AR97" s="770"/>
      <c r="AS97" s="770"/>
      <c r="AT97" s="770"/>
      <c r="AU97" s="829"/>
      <c r="AV97" s="770"/>
      <c r="AW97" s="770"/>
      <c r="AX97" s="770"/>
      <c r="AY97" s="770"/>
      <c r="AZ97" s="829"/>
      <c r="BA97" s="770"/>
      <c r="BB97" s="770"/>
      <c r="BC97" s="770"/>
      <c r="BD97" s="770"/>
      <c r="BE97" s="829"/>
      <c r="BF97" s="770"/>
      <c r="BG97" s="770"/>
      <c r="BH97" s="770"/>
      <c r="BI97" s="770"/>
      <c r="BJ97" s="829"/>
      <c r="BK97" s="770"/>
      <c r="BL97" s="770"/>
      <c r="BM97" s="770"/>
      <c r="BN97" s="770"/>
      <c r="BO97" s="829"/>
      <c r="BP97" s="770"/>
      <c r="BQ97" s="770"/>
      <c r="BR97" s="770"/>
      <c r="BS97" s="770"/>
      <c r="BT97" s="829"/>
      <c r="BU97" s="770"/>
      <c r="BV97" s="770"/>
      <c r="BW97" s="770"/>
      <c r="BX97" s="770"/>
      <c r="BY97" s="829"/>
      <c r="BZ97" s="770"/>
      <c r="CA97" s="770"/>
      <c r="CB97" s="770"/>
      <c r="CC97" s="770"/>
      <c r="CD97" s="829"/>
      <c r="CE97" s="770"/>
      <c r="CF97" s="770"/>
      <c r="CG97" s="770"/>
      <c r="CH97" s="770"/>
      <c r="CI97" s="829"/>
      <c r="CJ97" s="770"/>
      <c r="CK97" s="770"/>
      <c r="CL97" s="770"/>
      <c r="CM97" s="770"/>
      <c r="CN97" s="855"/>
      <c r="CO97" s="828"/>
      <c r="CP97" s="828"/>
      <c r="CQ97" s="828"/>
      <c r="CR97" s="828"/>
      <c r="CS97" s="819"/>
      <c r="CT97" s="760"/>
    </row>
    <row r="98" spans="1:98" s="4" customFormat="1" ht="70.5" customHeight="1" x14ac:dyDescent="0.3">
      <c r="A98" s="896"/>
      <c r="B98" s="893"/>
      <c r="C98" s="324" t="s">
        <v>1281</v>
      </c>
      <c r="D98" s="858"/>
      <c r="E98" s="857"/>
      <c r="F98" s="841"/>
      <c r="G98" s="858"/>
      <c r="H98" s="858"/>
      <c r="I98" s="858"/>
      <c r="J98" s="732"/>
      <c r="K98" s="732"/>
      <c r="L98" s="732"/>
      <c r="M98" s="733"/>
      <c r="N98" s="762"/>
      <c r="O98" s="778"/>
      <c r="P98" s="551"/>
      <c r="Q98" s="729"/>
      <c r="R98" s="729"/>
      <c r="S98" s="729"/>
      <c r="T98" s="729"/>
      <c r="U98" s="729"/>
      <c r="V98" s="729"/>
      <c r="W98" s="729"/>
      <c r="X98" s="729"/>
      <c r="Y98" s="729"/>
      <c r="Z98" s="729"/>
      <c r="AA98" s="165">
        <f>SUM(AB98:AE98)</f>
        <v>15875.1</v>
      </c>
      <c r="AB98" s="164">
        <v>15875.1</v>
      </c>
      <c r="AC98" s="164"/>
      <c r="AD98" s="164"/>
      <c r="AE98" s="164"/>
      <c r="AF98" s="165">
        <f t="shared" ref="AF98" si="235">SUM(AG98:AJ98)</f>
        <v>15875.1</v>
      </c>
      <c r="AG98" s="164">
        <v>15875.1</v>
      </c>
      <c r="AH98" s="164"/>
      <c r="AI98" s="164"/>
      <c r="AJ98" s="164"/>
      <c r="AK98" s="165">
        <f t="shared" ref="AK98" si="236">SUM(AL98:AO98)</f>
        <v>15875.1</v>
      </c>
      <c r="AL98" s="164">
        <v>15875.1</v>
      </c>
      <c r="AM98" s="164"/>
      <c r="AN98" s="164"/>
      <c r="AO98" s="164"/>
      <c r="AP98" s="165">
        <f t="shared" ref="AP98" si="237">SUM(AQ98:AT98)</f>
        <v>15875.1</v>
      </c>
      <c r="AQ98" s="164">
        <v>15875.1</v>
      </c>
      <c r="AR98" s="164"/>
      <c r="AS98" s="164"/>
      <c r="AT98" s="164"/>
      <c r="AU98" s="165">
        <f t="shared" ref="AU98" si="238">SUM(AV98:AY98)</f>
        <v>15875.1</v>
      </c>
      <c r="AV98" s="164">
        <v>15875.1</v>
      </c>
      <c r="AW98" s="164"/>
      <c r="AX98" s="164"/>
      <c r="AY98" s="164"/>
      <c r="AZ98" s="165">
        <f t="shared" ref="AZ98" si="239">SUM(BA98:BD98)</f>
        <v>15875.1</v>
      </c>
      <c r="BA98" s="164">
        <v>15875.1</v>
      </c>
      <c r="BB98" s="164"/>
      <c r="BC98" s="164"/>
      <c r="BD98" s="164"/>
      <c r="BE98" s="165">
        <f t="shared" ref="BE98" si="240">SUM(BF98:BI98)</f>
        <v>15875.1</v>
      </c>
      <c r="BF98" s="164">
        <v>15875.1</v>
      </c>
      <c r="BG98" s="164"/>
      <c r="BH98" s="164"/>
      <c r="BI98" s="164"/>
      <c r="BJ98" s="165">
        <f t="shared" ref="BJ98" si="241">SUM(BK98:BN98)</f>
        <v>15875.1</v>
      </c>
      <c r="BK98" s="164">
        <v>15875.1</v>
      </c>
      <c r="BL98" s="164"/>
      <c r="BM98" s="164"/>
      <c r="BN98" s="164"/>
      <c r="BO98" s="165">
        <f t="shared" ref="BO98" si="242">SUM(BP98:BS98)</f>
        <v>15875.1</v>
      </c>
      <c r="BP98" s="164">
        <v>15875.1</v>
      </c>
      <c r="BQ98" s="164"/>
      <c r="BR98" s="164"/>
      <c r="BS98" s="164"/>
      <c r="BT98" s="165">
        <f t="shared" ref="BT98" si="243">SUM(BU98:BX98)</f>
        <v>15875.1</v>
      </c>
      <c r="BU98" s="164">
        <v>15875.1</v>
      </c>
      <c r="BV98" s="164"/>
      <c r="BW98" s="164"/>
      <c r="BX98" s="164"/>
      <c r="BY98" s="165">
        <f t="shared" ref="BY98" si="244">SUM(BZ98:CC98)</f>
        <v>15875.1</v>
      </c>
      <c r="BZ98" s="164">
        <v>15875.1</v>
      </c>
      <c r="CA98" s="164"/>
      <c r="CB98" s="164"/>
      <c r="CC98" s="164"/>
      <c r="CD98" s="165">
        <f t="shared" ref="CD98" si="245">SUM(CE98:CH98)</f>
        <v>15875.1</v>
      </c>
      <c r="CE98" s="164">
        <v>15875.1</v>
      </c>
      <c r="CF98" s="164"/>
      <c r="CG98" s="164"/>
      <c r="CH98" s="164"/>
      <c r="CI98" s="181">
        <f t="shared" ref="CI98" si="246">AA98+AF98+AK98</f>
        <v>47625.3</v>
      </c>
      <c r="CJ98" s="180">
        <f t="shared" ref="CJ98" si="247">AB98+AG98+AL98</f>
        <v>47625.3</v>
      </c>
      <c r="CK98" s="180">
        <f t="shared" ref="CK98" si="248">AC98+AH98+AM98</f>
        <v>0</v>
      </c>
      <c r="CL98" s="180">
        <f t="shared" ref="CL98" si="249">AD98+AI98+AN98</f>
        <v>0</v>
      </c>
      <c r="CM98" s="180">
        <f t="shared" ref="CM98" si="250">AE98+AJ98+AO98</f>
        <v>0</v>
      </c>
      <c r="CN98" s="181">
        <f t="shared" ref="CN98:CR100" si="251">AA98+AF98+AK98+AP98+AU98+AZ98+BE98+BJ98+BO98+BT98+BY98+CD98</f>
        <v>190501.20000000004</v>
      </c>
      <c r="CO98" s="180">
        <f t="shared" si="251"/>
        <v>190501.20000000004</v>
      </c>
      <c r="CP98" s="180">
        <f t="shared" si="251"/>
        <v>0</v>
      </c>
      <c r="CQ98" s="180">
        <f t="shared" si="251"/>
        <v>0</v>
      </c>
      <c r="CR98" s="180">
        <f t="shared" si="251"/>
        <v>0</v>
      </c>
      <c r="CS98" s="273">
        <f>CN98-CO98-CP98-CQ98-CR98</f>
        <v>0</v>
      </c>
      <c r="CT98" s="760"/>
    </row>
    <row r="99" spans="1:98" s="4" customFormat="1" ht="216" customHeight="1" x14ac:dyDescent="0.3">
      <c r="A99" s="693" t="s">
        <v>1094</v>
      </c>
      <c r="B99" s="695" t="s">
        <v>194</v>
      </c>
      <c r="C99" s="681" t="s">
        <v>1282</v>
      </c>
      <c r="D99" s="690" t="s">
        <v>190</v>
      </c>
      <c r="E99" s="700" t="s">
        <v>52</v>
      </c>
      <c r="F99" s="680" t="s">
        <v>1054</v>
      </c>
      <c r="G99" s="690" t="s">
        <v>342</v>
      </c>
      <c r="H99" s="690">
        <v>4</v>
      </c>
      <c r="I99" s="690">
        <v>7</v>
      </c>
      <c r="J99" s="690">
        <v>7</v>
      </c>
      <c r="K99" s="690">
        <v>7</v>
      </c>
      <c r="L99" s="690">
        <v>7</v>
      </c>
      <c r="M99" s="643">
        <v>4</v>
      </c>
      <c r="N99" s="444"/>
      <c r="O99" s="699" t="s">
        <v>1726</v>
      </c>
      <c r="P99" s="444"/>
      <c r="Q99" s="690">
        <v>7</v>
      </c>
      <c r="R99" s="690">
        <v>7</v>
      </c>
      <c r="S99" s="690">
        <v>7</v>
      </c>
      <c r="T99" s="690">
        <v>7</v>
      </c>
      <c r="U99" s="690">
        <v>8</v>
      </c>
      <c r="V99" s="690">
        <v>8</v>
      </c>
      <c r="W99" s="690">
        <v>8</v>
      </c>
      <c r="X99" s="690">
        <v>8</v>
      </c>
      <c r="Y99" s="690">
        <v>8</v>
      </c>
      <c r="Z99" s="690">
        <v>8</v>
      </c>
      <c r="AA99" s="694">
        <f t="shared" ref="AA99:AA103" si="252">SUM(AB99:AE99)</f>
        <v>40</v>
      </c>
      <c r="AB99" s="689">
        <v>40</v>
      </c>
      <c r="AC99" s="689"/>
      <c r="AD99" s="689"/>
      <c r="AE99" s="689"/>
      <c r="AF99" s="694">
        <f t="shared" ref="AF99:AF100" si="253">SUM(AG99:AJ99)</f>
        <v>45</v>
      </c>
      <c r="AG99" s="689">
        <v>45</v>
      </c>
      <c r="AH99" s="689"/>
      <c r="AI99" s="70"/>
      <c r="AJ99" s="70"/>
      <c r="AK99" s="694">
        <f t="shared" ref="AK99:AK100" si="254">SUM(AL99:AO99)</f>
        <v>45</v>
      </c>
      <c r="AL99" s="689">
        <v>45</v>
      </c>
      <c r="AM99" s="689"/>
      <c r="AN99" s="70"/>
      <c r="AO99" s="70"/>
      <c r="AP99" s="694">
        <v>45</v>
      </c>
      <c r="AQ99" s="70"/>
      <c r="AR99" s="70"/>
      <c r="AS99" s="70"/>
      <c r="AT99" s="70"/>
      <c r="AU99" s="694">
        <v>45</v>
      </c>
      <c r="AV99" s="70"/>
      <c r="AW99" s="70"/>
      <c r="AX99" s="70"/>
      <c r="AY99" s="70"/>
      <c r="AZ99" s="694">
        <v>45</v>
      </c>
      <c r="BA99" s="70"/>
      <c r="BB99" s="70"/>
      <c r="BC99" s="70"/>
      <c r="BD99" s="70"/>
      <c r="BE99" s="694">
        <v>45</v>
      </c>
      <c r="BF99" s="70"/>
      <c r="BG99" s="70"/>
      <c r="BH99" s="70"/>
      <c r="BI99" s="70"/>
      <c r="BJ99" s="694">
        <v>45</v>
      </c>
      <c r="BK99" s="70"/>
      <c r="BL99" s="70"/>
      <c r="BM99" s="70"/>
      <c r="BN99" s="70"/>
      <c r="BO99" s="694">
        <v>45</v>
      </c>
      <c r="BP99" s="70"/>
      <c r="BQ99" s="70"/>
      <c r="BR99" s="70"/>
      <c r="BS99" s="70"/>
      <c r="BT99" s="694">
        <v>45</v>
      </c>
      <c r="BU99" s="70"/>
      <c r="BV99" s="70"/>
      <c r="BW99" s="70"/>
      <c r="BX99" s="70"/>
      <c r="BY99" s="694">
        <v>45</v>
      </c>
      <c r="BZ99" s="70"/>
      <c r="CA99" s="70"/>
      <c r="CB99" s="70"/>
      <c r="CC99" s="70"/>
      <c r="CD99" s="694">
        <v>45</v>
      </c>
      <c r="CE99" s="70"/>
      <c r="CF99" s="70"/>
      <c r="CG99" s="70"/>
      <c r="CH99" s="70"/>
      <c r="CI99" s="691"/>
      <c r="CJ99" s="692"/>
      <c r="CK99" s="692"/>
      <c r="CL99" s="692"/>
      <c r="CM99" s="692"/>
      <c r="CN99" s="691">
        <f t="shared" si="251"/>
        <v>535</v>
      </c>
      <c r="CO99" s="692">
        <f t="shared" si="251"/>
        <v>130</v>
      </c>
      <c r="CP99" s="692">
        <f t="shared" si="251"/>
        <v>0</v>
      </c>
      <c r="CQ99" s="692">
        <f t="shared" si="251"/>
        <v>0</v>
      </c>
      <c r="CR99" s="692">
        <f t="shared" si="251"/>
        <v>0</v>
      </c>
      <c r="CS99" s="691">
        <f>CN99-CO99-CP99-CQ99-CR99</f>
        <v>405</v>
      </c>
      <c r="CT99" s="14"/>
    </row>
    <row r="100" spans="1:98" s="4" customFormat="1" ht="120" x14ac:dyDescent="0.3">
      <c r="A100" s="796" t="s">
        <v>193</v>
      </c>
      <c r="B100" s="804" t="s">
        <v>195</v>
      </c>
      <c r="C100" s="188" t="s">
        <v>1283</v>
      </c>
      <c r="D100" s="728" t="s">
        <v>190</v>
      </c>
      <c r="E100" s="889" t="s">
        <v>52</v>
      </c>
      <c r="F100" s="192" t="s">
        <v>196</v>
      </c>
      <c r="G100" s="187" t="s">
        <v>62</v>
      </c>
      <c r="H100" s="533"/>
      <c r="I100" s="187">
        <v>47</v>
      </c>
      <c r="J100" s="633">
        <v>50</v>
      </c>
      <c r="K100" s="289">
        <v>63.4</v>
      </c>
      <c r="L100" s="633">
        <v>50</v>
      </c>
      <c r="M100" s="643">
        <v>47.3</v>
      </c>
      <c r="N100" s="598" t="s">
        <v>1520</v>
      </c>
      <c r="O100" s="617" t="s">
        <v>1625</v>
      </c>
      <c r="P100" s="557"/>
      <c r="Q100" s="187">
        <v>50</v>
      </c>
      <c r="R100" s="187">
        <v>52</v>
      </c>
      <c r="S100" s="187">
        <v>52</v>
      </c>
      <c r="T100" s="187">
        <v>52</v>
      </c>
      <c r="U100" s="187">
        <v>54</v>
      </c>
      <c r="V100" s="187">
        <v>54</v>
      </c>
      <c r="W100" s="187">
        <v>54</v>
      </c>
      <c r="X100" s="187">
        <v>55</v>
      </c>
      <c r="Y100" s="187">
        <v>55</v>
      </c>
      <c r="Z100" s="187">
        <v>55</v>
      </c>
      <c r="AA100" s="165">
        <f t="shared" si="252"/>
        <v>660.6</v>
      </c>
      <c r="AB100" s="164">
        <v>660.6</v>
      </c>
      <c r="AC100" s="164"/>
      <c r="AD100" s="164"/>
      <c r="AE100" s="164"/>
      <c r="AF100" s="165">
        <f t="shared" si="253"/>
        <v>641.20000000000005</v>
      </c>
      <c r="AG100" s="164">
        <v>641.20000000000005</v>
      </c>
      <c r="AH100" s="164"/>
      <c r="AI100" s="70"/>
      <c r="AJ100" s="70"/>
      <c r="AK100" s="165">
        <f t="shared" si="254"/>
        <v>641.20000000000005</v>
      </c>
      <c r="AL100" s="164">
        <v>641.20000000000005</v>
      </c>
      <c r="AM100" s="164"/>
      <c r="AN100" s="70"/>
      <c r="AO100" s="70"/>
      <c r="AP100" s="165">
        <v>641.20000000000005</v>
      </c>
      <c r="AQ100" s="70"/>
      <c r="AR100" s="70"/>
      <c r="AS100" s="70"/>
      <c r="AT100" s="70"/>
      <c r="AU100" s="165">
        <v>641.20000000000005</v>
      </c>
      <c r="AV100" s="70"/>
      <c r="AW100" s="70"/>
      <c r="AX100" s="70"/>
      <c r="AY100" s="70"/>
      <c r="AZ100" s="165">
        <v>641.20000000000005</v>
      </c>
      <c r="BA100" s="70"/>
      <c r="BB100" s="70"/>
      <c r="BC100" s="70"/>
      <c r="BD100" s="70"/>
      <c r="BE100" s="165">
        <v>641.20000000000005</v>
      </c>
      <c r="BF100" s="70"/>
      <c r="BG100" s="70"/>
      <c r="BH100" s="70"/>
      <c r="BI100" s="70"/>
      <c r="BJ100" s="165">
        <v>641.20000000000005</v>
      </c>
      <c r="BK100" s="70"/>
      <c r="BL100" s="70"/>
      <c r="BM100" s="70"/>
      <c r="BN100" s="70"/>
      <c r="BO100" s="165">
        <v>641.20000000000005</v>
      </c>
      <c r="BP100" s="70"/>
      <c r="BQ100" s="70"/>
      <c r="BR100" s="70"/>
      <c r="BS100" s="70"/>
      <c r="BT100" s="165">
        <v>641.20000000000005</v>
      </c>
      <c r="BU100" s="70"/>
      <c r="BV100" s="70"/>
      <c r="BW100" s="70"/>
      <c r="BX100" s="70"/>
      <c r="BY100" s="165">
        <v>641.20000000000005</v>
      </c>
      <c r="BZ100" s="70"/>
      <c r="CA100" s="70"/>
      <c r="CB100" s="70"/>
      <c r="CC100" s="70"/>
      <c r="CD100" s="165">
        <v>641.20000000000005</v>
      </c>
      <c r="CE100" s="70"/>
      <c r="CF100" s="70"/>
      <c r="CG100" s="70"/>
      <c r="CH100" s="70"/>
      <c r="CI100" s="181"/>
      <c r="CJ100" s="180"/>
      <c r="CK100" s="180"/>
      <c r="CL100" s="180"/>
      <c r="CM100" s="180"/>
      <c r="CN100" s="181">
        <f t="shared" si="251"/>
        <v>7713.7999999999993</v>
      </c>
      <c r="CO100" s="180">
        <f t="shared" si="251"/>
        <v>1943.0000000000002</v>
      </c>
      <c r="CP100" s="180">
        <f t="shared" si="251"/>
        <v>0</v>
      </c>
      <c r="CQ100" s="180">
        <f t="shared" si="251"/>
        <v>0</v>
      </c>
      <c r="CR100" s="180">
        <f t="shared" si="251"/>
        <v>0</v>
      </c>
      <c r="CS100" s="273">
        <f>CN100-CO100-CP100-CQ100-CR100</f>
        <v>5770.7999999999993</v>
      </c>
      <c r="CT100" s="14"/>
    </row>
    <row r="101" spans="1:98" s="4" customFormat="1" ht="72" x14ac:dyDescent="0.3">
      <c r="A101" s="851"/>
      <c r="B101" s="852"/>
      <c r="C101" s="859" t="s">
        <v>1284</v>
      </c>
      <c r="D101" s="734"/>
      <c r="E101" s="890"/>
      <c r="F101" s="192" t="s">
        <v>197</v>
      </c>
      <c r="G101" s="187" t="s">
        <v>74</v>
      </c>
      <c r="H101" s="65">
        <v>58658</v>
      </c>
      <c r="I101" s="65">
        <v>69479</v>
      </c>
      <c r="J101" s="65">
        <v>71691</v>
      </c>
      <c r="K101" s="65">
        <v>71104</v>
      </c>
      <c r="L101" s="65">
        <v>75167</v>
      </c>
      <c r="M101" s="653">
        <v>73119</v>
      </c>
      <c r="N101" s="598" t="s">
        <v>1521</v>
      </c>
      <c r="O101" s="617" t="s">
        <v>1625</v>
      </c>
      <c r="P101" s="557"/>
      <c r="Q101" s="65">
        <v>75167</v>
      </c>
      <c r="R101" s="65">
        <v>75168</v>
      </c>
      <c r="S101" s="65">
        <v>75320</v>
      </c>
      <c r="T101" s="65">
        <v>75460</v>
      </c>
      <c r="U101" s="65">
        <v>75083</v>
      </c>
      <c r="V101" s="65">
        <v>75810</v>
      </c>
      <c r="W101" s="65">
        <v>75990</v>
      </c>
      <c r="X101" s="65">
        <v>76128</v>
      </c>
      <c r="Y101" s="65">
        <v>76972</v>
      </c>
      <c r="Z101" s="65">
        <v>76000</v>
      </c>
      <c r="AA101" s="767"/>
      <c r="AB101" s="765"/>
      <c r="AC101" s="765"/>
      <c r="AD101" s="765"/>
      <c r="AE101" s="765"/>
      <c r="AF101" s="767"/>
      <c r="AG101" s="765"/>
      <c r="AH101" s="765"/>
      <c r="AI101" s="793"/>
      <c r="AJ101" s="793"/>
      <c r="AK101" s="767"/>
      <c r="AL101" s="765"/>
      <c r="AM101" s="765"/>
      <c r="AN101" s="793"/>
      <c r="AO101" s="793"/>
      <c r="AP101" s="767"/>
      <c r="AQ101" s="793"/>
      <c r="AR101" s="793"/>
      <c r="AS101" s="793"/>
      <c r="AT101" s="793"/>
      <c r="AU101" s="767"/>
      <c r="AV101" s="793"/>
      <c r="AW101" s="793"/>
      <c r="AX101" s="793"/>
      <c r="AY101" s="793"/>
      <c r="AZ101" s="767"/>
      <c r="BA101" s="793"/>
      <c r="BB101" s="793"/>
      <c r="BC101" s="793"/>
      <c r="BD101" s="793"/>
      <c r="BE101" s="767"/>
      <c r="BF101" s="793"/>
      <c r="BG101" s="793"/>
      <c r="BH101" s="793"/>
      <c r="BI101" s="793"/>
      <c r="BJ101" s="767"/>
      <c r="BK101" s="793"/>
      <c r="BL101" s="793"/>
      <c r="BM101" s="793"/>
      <c r="BN101" s="793"/>
      <c r="BO101" s="767"/>
      <c r="BP101" s="793"/>
      <c r="BQ101" s="793"/>
      <c r="BR101" s="793"/>
      <c r="BS101" s="793"/>
      <c r="BT101" s="767"/>
      <c r="BU101" s="793"/>
      <c r="BV101" s="793"/>
      <c r="BW101" s="793"/>
      <c r="BX101" s="793"/>
      <c r="BY101" s="767"/>
      <c r="BZ101" s="793"/>
      <c r="CA101" s="793"/>
      <c r="CB101" s="793"/>
      <c r="CC101" s="793"/>
      <c r="CD101" s="767"/>
      <c r="CE101" s="793"/>
      <c r="CF101" s="793"/>
      <c r="CG101" s="793"/>
      <c r="CH101" s="793"/>
      <c r="CI101" s="773">
        <f t="shared" ref="CI101:CI103" si="255">AA101+AF101+AK101</f>
        <v>0</v>
      </c>
      <c r="CJ101" s="791">
        <f t="shared" ref="CJ101:CJ103" si="256">AB101+AG101+AL101</f>
        <v>0</v>
      </c>
      <c r="CK101" s="791">
        <f t="shared" ref="CK101:CK103" si="257">AC101+AH101+AM101</f>
        <v>0</v>
      </c>
      <c r="CL101" s="791">
        <f t="shared" ref="CL101:CL103" si="258">AD101+AI101+AN101</f>
        <v>0</v>
      </c>
      <c r="CM101" s="791">
        <f t="shared" ref="CM101:CM103" si="259">AE101+AJ101+AO101</f>
        <v>0</v>
      </c>
      <c r="CN101" s="773">
        <f t="shared" ref="CN101:CR101" si="260">AA101+AF101+AK101+AP101+AU101+AZ101+BE101+BJ101+BO101+BT101+BY101+CD101</f>
        <v>0</v>
      </c>
      <c r="CO101" s="791">
        <f t="shared" si="260"/>
        <v>0</v>
      </c>
      <c r="CP101" s="791">
        <f t="shared" si="260"/>
        <v>0</v>
      </c>
      <c r="CQ101" s="791">
        <f t="shared" si="260"/>
        <v>0</v>
      </c>
      <c r="CR101" s="791">
        <f t="shared" si="260"/>
        <v>0</v>
      </c>
      <c r="CS101" s="775">
        <f>CN101-CO101-CP101-CQ101-CR101</f>
        <v>0</v>
      </c>
      <c r="CT101" s="14"/>
    </row>
    <row r="102" spans="1:98" s="4" customFormat="1" ht="96" x14ac:dyDescent="0.3">
      <c r="A102" s="851"/>
      <c r="B102" s="852"/>
      <c r="C102" s="861"/>
      <c r="D102" s="734"/>
      <c r="E102" s="890"/>
      <c r="F102" s="199" t="s">
        <v>1056</v>
      </c>
      <c r="G102" s="187" t="s">
        <v>62</v>
      </c>
      <c r="H102" s="533">
        <v>34.85</v>
      </c>
      <c r="I102" s="187">
        <v>40.32</v>
      </c>
      <c r="J102" s="637">
        <v>41.6</v>
      </c>
      <c r="K102" s="289">
        <v>40.6</v>
      </c>
      <c r="L102" s="637">
        <v>43.1</v>
      </c>
      <c r="M102" s="643">
        <v>41.5</v>
      </c>
      <c r="N102" s="598" t="s">
        <v>1521</v>
      </c>
      <c r="O102" s="617" t="s">
        <v>1625</v>
      </c>
      <c r="P102" s="557"/>
      <c r="Q102" s="187">
        <v>43.13</v>
      </c>
      <c r="R102" s="187">
        <v>43.47</v>
      </c>
      <c r="S102" s="187">
        <v>43.48</v>
      </c>
      <c r="T102" s="187">
        <v>43.49</v>
      </c>
      <c r="U102" s="187">
        <v>43.5</v>
      </c>
      <c r="V102" s="187">
        <v>43.55</v>
      </c>
      <c r="W102" s="187">
        <v>43.58</v>
      </c>
      <c r="X102" s="187">
        <v>43.59</v>
      </c>
      <c r="Y102" s="187">
        <v>44</v>
      </c>
      <c r="Z102" s="187">
        <v>44.1</v>
      </c>
      <c r="AA102" s="768"/>
      <c r="AB102" s="766"/>
      <c r="AC102" s="766"/>
      <c r="AD102" s="766"/>
      <c r="AE102" s="766"/>
      <c r="AF102" s="768"/>
      <c r="AG102" s="766"/>
      <c r="AH102" s="766"/>
      <c r="AI102" s="794"/>
      <c r="AJ102" s="794"/>
      <c r="AK102" s="768"/>
      <c r="AL102" s="766"/>
      <c r="AM102" s="766"/>
      <c r="AN102" s="794"/>
      <c r="AO102" s="794"/>
      <c r="AP102" s="768"/>
      <c r="AQ102" s="794"/>
      <c r="AR102" s="794"/>
      <c r="AS102" s="794"/>
      <c r="AT102" s="794"/>
      <c r="AU102" s="768"/>
      <c r="AV102" s="794"/>
      <c r="AW102" s="794"/>
      <c r="AX102" s="794"/>
      <c r="AY102" s="794"/>
      <c r="AZ102" s="768"/>
      <c r="BA102" s="794"/>
      <c r="BB102" s="794"/>
      <c r="BC102" s="794"/>
      <c r="BD102" s="794"/>
      <c r="BE102" s="768"/>
      <c r="BF102" s="794"/>
      <c r="BG102" s="794"/>
      <c r="BH102" s="794"/>
      <c r="BI102" s="794"/>
      <c r="BJ102" s="768"/>
      <c r="BK102" s="794"/>
      <c r="BL102" s="794"/>
      <c r="BM102" s="794"/>
      <c r="BN102" s="794"/>
      <c r="BO102" s="768"/>
      <c r="BP102" s="794"/>
      <c r="BQ102" s="794"/>
      <c r="BR102" s="794"/>
      <c r="BS102" s="794"/>
      <c r="BT102" s="768"/>
      <c r="BU102" s="794"/>
      <c r="BV102" s="794"/>
      <c r="BW102" s="794"/>
      <c r="BX102" s="794"/>
      <c r="BY102" s="768"/>
      <c r="BZ102" s="794"/>
      <c r="CA102" s="794"/>
      <c r="CB102" s="794"/>
      <c r="CC102" s="794"/>
      <c r="CD102" s="768"/>
      <c r="CE102" s="794"/>
      <c r="CF102" s="794"/>
      <c r="CG102" s="794"/>
      <c r="CH102" s="794"/>
      <c r="CI102" s="774"/>
      <c r="CJ102" s="792"/>
      <c r="CK102" s="792"/>
      <c r="CL102" s="792"/>
      <c r="CM102" s="792"/>
      <c r="CN102" s="774"/>
      <c r="CO102" s="792"/>
      <c r="CP102" s="792"/>
      <c r="CQ102" s="792"/>
      <c r="CR102" s="792"/>
      <c r="CS102" s="776"/>
      <c r="CT102" s="14"/>
    </row>
    <row r="103" spans="1:98" s="4" customFormat="1" ht="168" x14ac:dyDescent="0.3">
      <c r="A103" s="797"/>
      <c r="B103" s="805"/>
      <c r="C103" s="188" t="s">
        <v>1285</v>
      </c>
      <c r="D103" s="729"/>
      <c r="E103" s="891"/>
      <c r="F103" s="192" t="s">
        <v>198</v>
      </c>
      <c r="G103" s="187" t="s">
        <v>62</v>
      </c>
      <c r="H103" s="533">
        <v>8</v>
      </c>
      <c r="I103" s="187">
        <v>9</v>
      </c>
      <c r="J103" s="637">
        <v>8.6999999999999993</v>
      </c>
      <c r="K103" s="289">
        <v>8.1</v>
      </c>
      <c r="L103" s="633">
        <v>9</v>
      </c>
      <c r="M103" s="643">
        <v>9.8000000000000007</v>
      </c>
      <c r="N103" s="598" t="s">
        <v>1521</v>
      </c>
      <c r="O103" s="617"/>
      <c r="P103" s="557"/>
      <c r="Q103" s="187">
        <v>9</v>
      </c>
      <c r="R103" s="187">
        <v>9</v>
      </c>
      <c r="S103" s="187">
        <v>9</v>
      </c>
      <c r="T103" s="187">
        <v>9</v>
      </c>
      <c r="U103" s="187">
        <v>9</v>
      </c>
      <c r="V103" s="187">
        <v>10</v>
      </c>
      <c r="W103" s="187">
        <v>10</v>
      </c>
      <c r="X103" s="187">
        <v>11</v>
      </c>
      <c r="Y103" s="187">
        <v>12</v>
      </c>
      <c r="Z103" s="187">
        <v>14</v>
      </c>
      <c r="AA103" s="165">
        <f t="shared" si="252"/>
        <v>3152</v>
      </c>
      <c r="AB103" s="164">
        <v>3152</v>
      </c>
      <c r="AC103" s="164"/>
      <c r="AD103" s="164"/>
      <c r="AE103" s="164"/>
      <c r="AF103" s="165">
        <f t="shared" ref="AF103:AF105" si="261">SUM(AG103:AJ103)</f>
        <v>3152</v>
      </c>
      <c r="AG103" s="164">
        <v>3152</v>
      </c>
      <c r="AH103" s="164"/>
      <c r="AI103" s="70"/>
      <c r="AJ103" s="70"/>
      <c r="AK103" s="165">
        <f t="shared" ref="AK103" si="262">SUM(AL103:AO103)</f>
        <v>3152</v>
      </c>
      <c r="AL103" s="164">
        <v>3152</v>
      </c>
      <c r="AM103" s="164"/>
      <c r="AN103" s="70"/>
      <c r="AO103" s="70"/>
      <c r="AP103" s="165"/>
      <c r="AQ103" s="70"/>
      <c r="AR103" s="70"/>
      <c r="AS103" s="70"/>
      <c r="AT103" s="70"/>
      <c r="AU103" s="165"/>
      <c r="AV103" s="70"/>
      <c r="AW103" s="70"/>
      <c r="AX103" s="70"/>
      <c r="AY103" s="70"/>
      <c r="AZ103" s="165"/>
      <c r="BA103" s="70"/>
      <c r="BB103" s="70"/>
      <c r="BC103" s="70"/>
      <c r="BD103" s="70"/>
      <c r="BE103" s="165"/>
      <c r="BF103" s="70"/>
      <c r="BG103" s="70"/>
      <c r="BH103" s="70"/>
      <c r="BI103" s="70"/>
      <c r="BJ103" s="165"/>
      <c r="BK103" s="70"/>
      <c r="BL103" s="70"/>
      <c r="BM103" s="70"/>
      <c r="BN103" s="70"/>
      <c r="BO103" s="165"/>
      <c r="BP103" s="70"/>
      <c r="BQ103" s="70"/>
      <c r="BR103" s="70"/>
      <c r="BS103" s="70"/>
      <c r="BT103" s="165"/>
      <c r="BU103" s="70"/>
      <c r="BV103" s="70"/>
      <c r="BW103" s="70"/>
      <c r="BX103" s="70"/>
      <c r="BY103" s="165"/>
      <c r="BZ103" s="70"/>
      <c r="CA103" s="70"/>
      <c r="CB103" s="70"/>
      <c r="CC103" s="70"/>
      <c r="CD103" s="165"/>
      <c r="CE103" s="70"/>
      <c r="CF103" s="70"/>
      <c r="CG103" s="70"/>
      <c r="CH103" s="70"/>
      <c r="CI103" s="181">
        <f t="shared" si="255"/>
        <v>9456</v>
      </c>
      <c r="CJ103" s="180">
        <f t="shared" si="256"/>
        <v>9456</v>
      </c>
      <c r="CK103" s="180">
        <f t="shared" si="257"/>
        <v>0</v>
      </c>
      <c r="CL103" s="180">
        <f t="shared" si="258"/>
        <v>0</v>
      </c>
      <c r="CM103" s="180">
        <f t="shared" si="259"/>
        <v>0</v>
      </c>
      <c r="CN103" s="181">
        <f>AA103+AF103+AK103+AP103+AU103+AZ103+BE103+BJ103+BO103+BT103+BY103+CD103</f>
        <v>9456</v>
      </c>
      <c r="CO103" s="180">
        <f>AB103+AG103+AL103+AQ103+AV103+BA103+BF103+BK103+BP103+BU103+BZ103+CE103</f>
        <v>9456</v>
      </c>
      <c r="CP103" s="180">
        <f>AC103+AH103+AM103+AR103+AW103+BB103+BG103+BL103+BQ103+BV103+CA103+CF103</f>
        <v>0</v>
      </c>
      <c r="CQ103" s="180">
        <f>AD103+AI103+AN103+AS103+AX103+BC103+BH103+BM103+BR103+BW103+CB103+CG103</f>
        <v>0</v>
      </c>
      <c r="CR103" s="180">
        <f>AE103+AJ103+AO103+AT103+AY103+BD103+BI103+BN103+BS103+BX103+CC103+CH103</f>
        <v>0</v>
      </c>
      <c r="CS103" s="273">
        <f>CN103-CO103-CP103-CQ103-CR103</f>
        <v>0</v>
      </c>
      <c r="CT103" s="14"/>
    </row>
    <row r="104" spans="1:98" ht="36" customHeight="1" x14ac:dyDescent="0.3">
      <c r="A104" s="362" t="s">
        <v>199</v>
      </c>
      <c r="B104" s="813" t="s">
        <v>200</v>
      </c>
      <c r="C104" s="813"/>
      <c r="D104" s="813"/>
      <c r="E104" s="813"/>
      <c r="F104" s="813"/>
      <c r="G104" s="813"/>
      <c r="H104" s="813"/>
      <c r="I104" s="813"/>
      <c r="J104" s="813"/>
      <c r="K104" s="813"/>
      <c r="L104" s="813"/>
      <c r="M104" s="813"/>
      <c r="N104" s="813"/>
      <c r="O104" s="813"/>
      <c r="P104" s="813"/>
      <c r="Q104" s="813"/>
      <c r="R104" s="813"/>
      <c r="S104" s="813"/>
      <c r="T104" s="813"/>
      <c r="U104" s="813"/>
      <c r="V104" s="813"/>
      <c r="W104" s="813"/>
      <c r="X104" s="813"/>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3"/>
      <c r="AY104" s="813"/>
      <c r="AZ104" s="813"/>
      <c r="BA104" s="813"/>
      <c r="BB104" s="813"/>
      <c r="BC104" s="813"/>
      <c r="BD104" s="813"/>
      <c r="BE104" s="813"/>
      <c r="BF104" s="813"/>
      <c r="BG104" s="813"/>
      <c r="BH104" s="813"/>
      <c r="BI104" s="813"/>
      <c r="BJ104" s="813"/>
      <c r="BK104" s="813"/>
      <c r="BL104" s="813"/>
      <c r="BM104" s="813"/>
      <c r="BN104" s="813"/>
      <c r="BO104" s="813"/>
      <c r="BP104" s="813"/>
      <c r="BQ104" s="813"/>
      <c r="BR104" s="813"/>
      <c r="BS104" s="813"/>
      <c r="BT104" s="813"/>
      <c r="BU104" s="813"/>
      <c r="BV104" s="813"/>
      <c r="BW104" s="813"/>
      <c r="BX104" s="813"/>
      <c r="BY104" s="813"/>
      <c r="BZ104" s="813"/>
      <c r="CA104" s="813"/>
      <c r="CB104" s="813"/>
      <c r="CC104" s="813"/>
      <c r="CD104" s="813"/>
      <c r="CE104" s="813"/>
      <c r="CF104" s="813"/>
      <c r="CG104" s="813"/>
      <c r="CH104" s="813"/>
      <c r="CI104" s="813"/>
      <c r="CJ104" s="813"/>
      <c r="CK104" s="813"/>
      <c r="CL104" s="813"/>
      <c r="CM104" s="813"/>
      <c r="CN104" s="277">
        <f>CN105+CN106+CN107+CN108+CN109+CN110</f>
        <v>2019067.8</v>
      </c>
      <c r="CO104" s="277">
        <f t="shared" ref="CO104:CS104" si="263">CO105+CO106+CO107+CO108+CO109+CO110</f>
        <v>0</v>
      </c>
      <c r="CP104" s="277">
        <f t="shared" si="263"/>
        <v>0</v>
      </c>
      <c r="CQ104" s="277">
        <f t="shared" si="263"/>
        <v>0</v>
      </c>
      <c r="CR104" s="277">
        <f t="shared" si="263"/>
        <v>1055300</v>
      </c>
      <c r="CS104" s="273">
        <f t="shared" si="263"/>
        <v>963767.8</v>
      </c>
    </row>
    <row r="105" spans="1:98" s="4" customFormat="1" ht="321" customHeight="1" x14ac:dyDescent="0.3">
      <c r="A105" s="47" t="s">
        <v>201</v>
      </c>
      <c r="B105" s="189" t="s">
        <v>1192</v>
      </c>
      <c r="C105" s="182" t="s">
        <v>1199</v>
      </c>
      <c r="D105" s="187" t="s">
        <v>202</v>
      </c>
      <c r="E105" s="187" t="s">
        <v>203</v>
      </c>
      <c r="F105" s="817" t="s">
        <v>1057</v>
      </c>
      <c r="G105" s="728" t="s">
        <v>1120</v>
      </c>
      <c r="H105" s="728" t="s">
        <v>1121</v>
      </c>
      <c r="I105" s="728" t="s">
        <v>1121</v>
      </c>
      <c r="J105" s="728" t="s">
        <v>1122</v>
      </c>
      <c r="K105" s="779" t="s">
        <v>1464</v>
      </c>
      <c r="L105" s="728" t="s">
        <v>1122</v>
      </c>
      <c r="M105" s="735" t="s">
        <v>1714</v>
      </c>
      <c r="N105" s="777" t="s">
        <v>1522</v>
      </c>
      <c r="O105" s="777" t="s">
        <v>1695</v>
      </c>
      <c r="P105" s="550"/>
      <c r="Q105" s="728" t="s">
        <v>1122</v>
      </c>
      <c r="R105" s="728" t="s">
        <v>1122</v>
      </c>
      <c r="S105" s="728" t="s">
        <v>1122</v>
      </c>
      <c r="T105" s="728" t="s">
        <v>1122</v>
      </c>
      <c r="U105" s="728" t="s">
        <v>1123</v>
      </c>
      <c r="V105" s="728" t="s">
        <v>1123</v>
      </c>
      <c r="W105" s="728" t="s">
        <v>1123</v>
      </c>
      <c r="X105" s="728" t="s">
        <v>1123</v>
      </c>
      <c r="Y105" s="728" t="s">
        <v>1123</v>
      </c>
      <c r="Z105" s="728" t="s">
        <v>1123</v>
      </c>
      <c r="AA105" s="164"/>
      <c r="AB105" s="164"/>
      <c r="AC105" s="164"/>
      <c r="AD105" s="164"/>
      <c r="AE105" s="164"/>
      <c r="AF105" s="165">
        <f t="shared" si="261"/>
        <v>1055300</v>
      </c>
      <c r="AG105" s="164"/>
      <c r="AH105" s="164"/>
      <c r="AI105" s="164"/>
      <c r="AJ105" s="164">
        <v>1055300</v>
      </c>
      <c r="AK105" s="164"/>
      <c r="AL105" s="164"/>
      <c r="AM105" s="164"/>
      <c r="AN105" s="164"/>
      <c r="AO105" s="164"/>
      <c r="AP105" s="165"/>
      <c r="AQ105" s="164"/>
      <c r="AR105" s="164"/>
      <c r="AS105" s="164"/>
      <c r="AT105" s="164"/>
      <c r="AU105" s="165"/>
      <c r="AV105" s="164"/>
      <c r="AW105" s="164"/>
      <c r="AX105" s="164"/>
      <c r="AY105" s="164"/>
      <c r="AZ105" s="165"/>
      <c r="BA105" s="164"/>
      <c r="BB105" s="164"/>
      <c r="BC105" s="164"/>
      <c r="BD105" s="164"/>
      <c r="BE105" s="165"/>
      <c r="BF105" s="164"/>
      <c r="BG105" s="164"/>
      <c r="BH105" s="164"/>
      <c r="BI105" s="164"/>
      <c r="BJ105" s="165"/>
      <c r="BK105" s="164"/>
      <c r="BL105" s="164"/>
      <c r="BM105" s="164"/>
      <c r="BN105" s="164"/>
      <c r="BO105" s="165"/>
      <c r="BP105" s="164"/>
      <c r="BQ105" s="164"/>
      <c r="BR105" s="164"/>
      <c r="BS105" s="164"/>
      <c r="BT105" s="165"/>
      <c r="BU105" s="164"/>
      <c r="BV105" s="164"/>
      <c r="BW105" s="164"/>
      <c r="BX105" s="164"/>
      <c r="BY105" s="165"/>
      <c r="BZ105" s="164"/>
      <c r="CA105" s="164"/>
      <c r="CB105" s="164"/>
      <c r="CC105" s="164"/>
      <c r="CD105" s="165"/>
      <c r="CE105" s="164"/>
      <c r="CF105" s="164"/>
      <c r="CG105" s="164"/>
      <c r="CH105" s="164"/>
      <c r="CI105" s="181">
        <f t="shared" ref="CI105" si="264">AA105+AF105+AK105</f>
        <v>1055300</v>
      </c>
      <c r="CJ105" s="180">
        <f t="shared" ref="CJ105" si="265">AB105+AG105+AL105</f>
        <v>0</v>
      </c>
      <c r="CK105" s="180">
        <f t="shared" ref="CK105" si="266">AC105+AH105+AM105</f>
        <v>0</v>
      </c>
      <c r="CL105" s="180">
        <f t="shared" ref="CL105" si="267">AD105+AI105+AN105</f>
        <v>0</v>
      </c>
      <c r="CM105" s="180">
        <f t="shared" ref="CM105" si="268">AE105+AJ105+AO105</f>
        <v>1055300</v>
      </c>
      <c r="CN105" s="181">
        <f t="shared" ref="CN105:CR110" si="269">AA105+AF105+AK105+AP105+AU105+AZ105+BE105+BJ105+BO105+BT105+BY105+CD105</f>
        <v>1055300</v>
      </c>
      <c r="CO105" s="180">
        <f t="shared" si="269"/>
        <v>0</v>
      </c>
      <c r="CP105" s="180">
        <f t="shared" si="269"/>
        <v>0</v>
      </c>
      <c r="CQ105" s="180">
        <f t="shared" si="269"/>
        <v>0</v>
      </c>
      <c r="CR105" s="180">
        <f t="shared" si="269"/>
        <v>1055300</v>
      </c>
      <c r="CS105" s="273">
        <f>CN105-CO105-CP105-CQ105-CR105</f>
        <v>0</v>
      </c>
      <c r="CT105" s="760"/>
    </row>
    <row r="106" spans="1:98" s="4" customFormat="1" ht="144" x14ac:dyDescent="0.3">
      <c r="A106" s="47" t="s">
        <v>214</v>
      </c>
      <c r="B106" s="189" t="s">
        <v>205</v>
      </c>
      <c r="C106" s="182" t="s">
        <v>855</v>
      </c>
      <c r="D106" s="187" t="s">
        <v>190</v>
      </c>
      <c r="E106" s="187" t="s">
        <v>206</v>
      </c>
      <c r="F106" s="868"/>
      <c r="G106" s="734"/>
      <c r="H106" s="734"/>
      <c r="I106" s="734"/>
      <c r="J106" s="734"/>
      <c r="K106" s="734"/>
      <c r="L106" s="734"/>
      <c r="M106" s="736"/>
      <c r="N106" s="784"/>
      <c r="O106" s="784"/>
      <c r="P106" s="552"/>
      <c r="Q106" s="734"/>
      <c r="R106" s="734"/>
      <c r="S106" s="734"/>
      <c r="T106" s="734"/>
      <c r="U106" s="734"/>
      <c r="V106" s="734"/>
      <c r="W106" s="734"/>
      <c r="X106" s="734"/>
      <c r="Y106" s="734"/>
      <c r="Z106" s="734"/>
      <c r="AA106" s="164"/>
      <c r="AB106" s="164"/>
      <c r="AC106" s="164"/>
      <c r="AD106" s="164"/>
      <c r="AE106" s="164"/>
      <c r="AF106" s="164"/>
      <c r="AG106" s="164"/>
      <c r="AH106" s="164"/>
      <c r="AI106" s="164"/>
      <c r="AJ106" s="164"/>
      <c r="AK106" s="164"/>
      <c r="AL106" s="164"/>
      <c r="AM106" s="164"/>
      <c r="AN106" s="164"/>
      <c r="AO106" s="164"/>
      <c r="AP106" s="165"/>
      <c r="AQ106" s="164"/>
      <c r="AR106" s="164"/>
      <c r="AS106" s="164"/>
      <c r="AT106" s="164"/>
      <c r="AU106" s="165"/>
      <c r="AV106" s="164"/>
      <c r="AW106" s="164"/>
      <c r="AX106" s="164"/>
      <c r="AY106" s="164"/>
      <c r="AZ106" s="165"/>
      <c r="BA106" s="164"/>
      <c r="BB106" s="164"/>
      <c r="BC106" s="164"/>
      <c r="BD106" s="164"/>
      <c r="BE106" s="165">
        <v>2000</v>
      </c>
      <c r="BF106" s="164"/>
      <c r="BG106" s="164"/>
      <c r="BH106" s="164"/>
      <c r="BI106" s="164"/>
      <c r="BJ106" s="165">
        <v>309000</v>
      </c>
      <c r="BK106" s="164"/>
      <c r="BL106" s="164"/>
      <c r="BM106" s="164"/>
      <c r="BN106" s="164"/>
      <c r="BO106" s="165">
        <v>309000</v>
      </c>
      <c r="BP106" s="164"/>
      <c r="BQ106" s="164"/>
      <c r="BR106" s="164"/>
      <c r="BS106" s="164"/>
      <c r="BT106" s="165"/>
      <c r="BU106" s="164"/>
      <c r="BV106" s="164"/>
      <c r="BW106" s="164"/>
      <c r="BX106" s="164"/>
      <c r="BY106" s="165"/>
      <c r="BZ106" s="164"/>
      <c r="CA106" s="164"/>
      <c r="CB106" s="164"/>
      <c r="CC106" s="164"/>
      <c r="CD106" s="165"/>
      <c r="CE106" s="164"/>
      <c r="CF106" s="164"/>
      <c r="CG106" s="164"/>
      <c r="CH106" s="164"/>
      <c r="CI106" s="181">
        <f t="shared" ref="CI106:CI109" si="270">AA106+AF106+AK106</f>
        <v>0</v>
      </c>
      <c r="CJ106" s="180">
        <f t="shared" ref="CJ106:CJ109" si="271">AB106+AG106+AL106</f>
        <v>0</v>
      </c>
      <c r="CK106" s="180">
        <f t="shared" ref="CK106:CK109" si="272">AC106+AH106+AM106</f>
        <v>0</v>
      </c>
      <c r="CL106" s="180">
        <f t="shared" ref="CL106:CL109" si="273">AD106+AI106+AN106</f>
        <v>0</v>
      </c>
      <c r="CM106" s="180">
        <f t="shared" ref="CM106:CM109" si="274">AE106+AJ106+AO106</f>
        <v>0</v>
      </c>
      <c r="CN106" s="181">
        <f t="shared" si="269"/>
        <v>620000</v>
      </c>
      <c r="CO106" s="180">
        <f t="shared" si="269"/>
        <v>0</v>
      </c>
      <c r="CP106" s="180">
        <f t="shared" si="269"/>
        <v>0</v>
      </c>
      <c r="CQ106" s="180">
        <f t="shared" si="269"/>
        <v>0</v>
      </c>
      <c r="CR106" s="180">
        <f t="shared" si="269"/>
        <v>0</v>
      </c>
      <c r="CS106" s="273">
        <f t="shared" ref="CS106:CS110" si="275">CN106-CO106-CP106-CQ106-CR106</f>
        <v>620000</v>
      </c>
      <c r="CT106" s="760"/>
    </row>
    <row r="107" spans="1:98" s="4" customFormat="1" ht="192" x14ac:dyDescent="0.3">
      <c r="A107" s="47" t="s">
        <v>204</v>
      </c>
      <c r="B107" s="71" t="s">
        <v>208</v>
      </c>
      <c r="C107" s="188" t="s">
        <v>1286</v>
      </c>
      <c r="D107" s="42" t="s">
        <v>1145</v>
      </c>
      <c r="E107" s="187" t="s">
        <v>209</v>
      </c>
      <c r="F107" s="868"/>
      <c r="G107" s="734"/>
      <c r="H107" s="734"/>
      <c r="I107" s="734"/>
      <c r="J107" s="734"/>
      <c r="K107" s="734"/>
      <c r="L107" s="734"/>
      <c r="M107" s="736"/>
      <c r="N107" s="784"/>
      <c r="O107" s="784"/>
      <c r="P107" s="552"/>
      <c r="Q107" s="734"/>
      <c r="R107" s="734"/>
      <c r="S107" s="734"/>
      <c r="T107" s="734"/>
      <c r="U107" s="734"/>
      <c r="V107" s="734"/>
      <c r="W107" s="734"/>
      <c r="X107" s="734"/>
      <c r="Y107" s="734"/>
      <c r="Z107" s="734"/>
      <c r="AA107" s="164"/>
      <c r="AB107" s="164"/>
      <c r="AC107" s="164"/>
      <c r="AD107" s="164"/>
      <c r="AE107" s="164"/>
      <c r="AF107" s="164"/>
      <c r="AG107" s="164"/>
      <c r="AH107" s="164"/>
      <c r="AI107" s="164"/>
      <c r="AJ107" s="164"/>
      <c r="AK107" s="164"/>
      <c r="AL107" s="164"/>
      <c r="AM107" s="164"/>
      <c r="AN107" s="164"/>
      <c r="AO107" s="164"/>
      <c r="AP107" s="165"/>
      <c r="AQ107" s="164"/>
      <c r="AR107" s="164"/>
      <c r="AS107" s="164"/>
      <c r="AT107" s="164"/>
      <c r="AU107" s="165"/>
      <c r="AV107" s="164"/>
      <c r="AW107" s="164"/>
      <c r="AX107" s="164"/>
      <c r="AY107" s="164"/>
      <c r="AZ107" s="165"/>
      <c r="BA107" s="164"/>
      <c r="BB107" s="164"/>
      <c r="BC107" s="164"/>
      <c r="BD107" s="164"/>
      <c r="BE107" s="165"/>
      <c r="BF107" s="164"/>
      <c r="BG107" s="164"/>
      <c r="BH107" s="164"/>
      <c r="BI107" s="164"/>
      <c r="BJ107" s="165"/>
      <c r="BK107" s="164"/>
      <c r="BL107" s="164"/>
      <c r="BM107" s="164"/>
      <c r="BN107" s="164"/>
      <c r="BO107" s="165"/>
      <c r="BP107" s="164"/>
      <c r="BQ107" s="164"/>
      <c r="BR107" s="164"/>
      <c r="BS107" s="164"/>
      <c r="BT107" s="165"/>
      <c r="BU107" s="164"/>
      <c r="BV107" s="164"/>
      <c r="BW107" s="164"/>
      <c r="BX107" s="164"/>
      <c r="BY107" s="165"/>
      <c r="BZ107" s="164"/>
      <c r="CA107" s="164"/>
      <c r="CB107" s="164"/>
      <c r="CC107" s="164"/>
      <c r="CD107" s="165"/>
      <c r="CE107" s="164"/>
      <c r="CF107" s="164"/>
      <c r="CG107" s="164"/>
      <c r="CH107" s="164"/>
      <c r="CI107" s="181">
        <f t="shared" si="270"/>
        <v>0</v>
      </c>
      <c r="CJ107" s="180">
        <f t="shared" si="271"/>
        <v>0</v>
      </c>
      <c r="CK107" s="180">
        <f t="shared" si="272"/>
        <v>0</v>
      </c>
      <c r="CL107" s="180">
        <f t="shared" si="273"/>
        <v>0</v>
      </c>
      <c r="CM107" s="180">
        <f t="shared" si="274"/>
        <v>0</v>
      </c>
      <c r="CN107" s="181">
        <f t="shared" si="269"/>
        <v>0</v>
      </c>
      <c r="CO107" s="180">
        <f t="shared" si="269"/>
        <v>0</v>
      </c>
      <c r="CP107" s="180">
        <f t="shared" si="269"/>
        <v>0</v>
      </c>
      <c r="CQ107" s="180">
        <f t="shared" si="269"/>
        <v>0</v>
      </c>
      <c r="CR107" s="180">
        <f t="shared" si="269"/>
        <v>0</v>
      </c>
      <c r="CS107" s="273">
        <f t="shared" si="275"/>
        <v>0</v>
      </c>
      <c r="CT107" s="760"/>
    </row>
    <row r="108" spans="1:98" s="4" customFormat="1" ht="192" x14ac:dyDescent="0.3">
      <c r="A108" s="47" t="s">
        <v>207</v>
      </c>
      <c r="B108" s="72" t="s">
        <v>211</v>
      </c>
      <c r="C108" s="182" t="s">
        <v>212</v>
      </c>
      <c r="D108" s="42" t="s">
        <v>1145</v>
      </c>
      <c r="E108" s="187" t="s">
        <v>213</v>
      </c>
      <c r="F108" s="818"/>
      <c r="G108" s="729"/>
      <c r="H108" s="729"/>
      <c r="I108" s="729"/>
      <c r="J108" s="729"/>
      <c r="K108" s="729"/>
      <c r="L108" s="729"/>
      <c r="M108" s="737"/>
      <c r="N108" s="778"/>
      <c r="O108" s="778"/>
      <c r="P108" s="551"/>
      <c r="Q108" s="729"/>
      <c r="R108" s="729"/>
      <c r="S108" s="729"/>
      <c r="T108" s="729"/>
      <c r="U108" s="729"/>
      <c r="V108" s="729"/>
      <c r="W108" s="729"/>
      <c r="X108" s="729"/>
      <c r="Y108" s="729"/>
      <c r="Z108" s="729"/>
      <c r="AA108" s="164"/>
      <c r="AB108" s="164"/>
      <c r="AC108" s="164"/>
      <c r="AD108" s="164"/>
      <c r="AE108" s="164"/>
      <c r="AF108" s="164"/>
      <c r="AG108" s="164"/>
      <c r="AH108" s="164"/>
      <c r="AI108" s="164"/>
      <c r="AJ108" s="164"/>
      <c r="AK108" s="164"/>
      <c r="AL108" s="164"/>
      <c r="AM108" s="164"/>
      <c r="AN108" s="164"/>
      <c r="AO108" s="164"/>
      <c r="AP108" s="165"/>
      <c r="AQ108" s="164"/>
      <c r="AR108" s="164"/>
      <c r="AS108" s="164"/>
      <c r="AT108" s="164"/>
      <c r="AU108" s="165"/>
      <c r="AV108" s="164"/>
      <c r="AW108" s="164"/>
      <c r="AX108" s="164"/>
      <c r="AY108" s="164"/>
      <c r="AZ108" s="165"/>
      <c r="BA108" s="164"/>
      <c r="BB108" s="164"/>
      <c r="BC108" s="164"/>
      <c r="BD108" s="164"/>
      <c r="BE108" s="165"/>
      <c r="BF108" s="164"/>
      <c r="BG108" s="164"/>
      <c r="BH108" s="164"/>
      <c r="BI108" s="164"/>
      <c r="BJ108" s="165"/>
      <c r="BK108" s="164"/>
      <c r="BL108" s="164"/>
      <c r="BM108" s="164"/>
      <c r="BN108" s="164"/>
      <c r="BO108" s="165"/>
      <c r="BP108" s="164"/>
      <c r="BQ108" s="164"/>
      <c r="BR108" s="164"/>
      <c r="BS108" s="164"/>
      <c r="BT108" s="165"/>
      <c r="BU108" s="164"/>
      <c r="BV108" s="164"/>
      <c r="BW108" s="164"/>
      <c r="BX108" s="164"/>
      <c r="BY108" s="165"/>
      <c r="BZ108" s="164"/>
      <c r="CA108" s="164"/>
      <c r="CB108" s="164"/>
      <c r="CC108" s="164"/>
      <c r="CD108" s="165"/>
      <c r="CE108" s="164"/>
      <c r="CF108" s="164"/>
      <c r="CG108" s="164"/>
      <c r="CH108" s="164"/>
      <c r="CI108" s="181">
        <f t="shared" si="270"/>
        <v>0</v>
      </c>
      <c r="CJ108" s="180">
        <f t="shared" si="271"/>
        <v>0</v>
      </c>
      <c r="CK108" s="180">
        <f t="shared" si="272"/>
        <v>0</v>
      </c>
      <c r="CL108" s="180">
        <f t="shared" si="273"/>
        <v>0</v>
      </c>
      <c r="CM108" s="180">
        <f t="shared" si="274"/>
        <v>0</v>
      </c>
      <c r="CN108" s="181">
        <f t="shared" si="269"/>
        <v>0</v>
      </c>
      <c r="CO108" s="180">
        <f t="shared" si="269"/>
        <v>0</v>
      </c>
      <c r="CP108" s="180">
        <f t="shared" si="269"/>
        <v>0</v>
      </c>
      <c r="CQ108" s="180">
        <f t="shared" si="269"/>
        <v>0</v>
      </c>
      <c r="CR108" s="180">
        <f t="shared" si="269"/>
        <v>0</v>
      </c>
      <c r="CS108" s="273">
        <f t="shared" si="275"/>
        <v>0</v>
      </c>
      <c r="CT108" s="760"/>
    </row>
    <row r="109" spans="1:98" s="4" customFormat="1" ht="96" x14ac:dyDescent="0.3">
      <c r="A109" s="358" t="s">
        <v>219</v>
      </c>
      <c r="B109" s="355" t="s">
        <v>215</v>
      </c>
      <c r="C109" s="348" t="s">
        <v>216</v>
      </c>
      <c r="D109" s="357" t="s">
        <v>190</v>
      </c>
      <c r="E109" s="357" t="s">
        <v>217</v>
      </c>
      <c r="F109" s="334" t="s">
        <v>218</v>
      </c>
      <c r="G109" s="357"/>
      <c r="H109" s="533"/>
      <c r="I109" s="357"/>
      <c r="J109" s="637"/>
      <c r="K109" s="357"/>
      <c r="L109" s="637"/>
      <c r="M109" s="643"/>
      <c r="N109" s="592"/>
      <c r="O109" s="615"/>
      <c r="P109" s="556"/>
      <c r="Q109" s="357"/>
      <c r="R109" s="357"/>
      <c r="S109" s="357"/>
      <c r="T109" s="357"/>
      <c r="U109" s="357"/>
      <c r="V109" s="357"/>
      <c r="W109" s="357"/>
      <c r="X109" s="357"/>
      <c r="Y109" s="357"/>
      <c r="Z109" s="357"/>
      <c r="AA109" s="341"/>
      <c r="AB109" s="341"/>
      <c r="AC109" s="341"/>
      <c r="AD109" s="341"/>
      <c r="AE109" s="341"/>
      <c r="AF109" s="341"/>
      <c r="AG109" s="341"/>
      <c r="AH109" s="341"/>
      <c r="AI109" s="341"/>
      <c r="AJ109" s="341"/>
      <c r="AK109" s="341"/>
      <c r="AL109" s="341"/>
      <c r="AM109" s="341"/>
      <c r="AN109" s="341"/>
      <c r="AO109" s="341"/>
      <c r="AP109" s="342"/>
      <c r="AQ109" s="341"/>
      <c r="AR109" s="341"/>
      <c r="AS109" s="341"/>
      <c r="AT109" s="341"/>
      <c r="AU109" s="342">
        <v>500</v>
      </c>
      <c r="AV109" s="341"/>
      <c r="AW109" s="341"/>
      <c r="AX109" s="341"/>
      <c r="AY109" s="341"/>
      <c r="AZ109" s="342">
        <v>8700</v>
      </c>
      <c r="BA109" s="341"/>
      <c r="BB109" s="341"/>
      <c r="BC109" s="341"/>
      <c r="BD109" s="341"/>
      <c r="BE109" s="342"/>
      <c r="BF109" s="341"/>
      <c r="BG109" s="341"/>
      <c r="BH109" s="341"/>
      <c r="BI109" s="341"/>
      <c r="BJ109" s="342"/>
      <c r="BK109" s="341"/>
      <c r="BL109" s="341"/>
      <c r="BM109" s="341"/>
      <c r="BN109" s="341"/>
      <c r="BO109" s="342"/>
      <c r="BP109" s="341"/>
      <c r="BQ109" s="341"/>
      <c r="BR109" s="341"/>
      <c r="BS109" s="341"/>
      <c r="BT109" s="342"/>
      <c r="BU109" s="341"/>
      <c r="BV109" s="341"/>
      <c r="BW109" s="341"/>
      <c r="BX109" s="341"/>
      <c r="BY109" s="342"/>
      <c r="BZ109" s="341"/>
      <c r="CA109" s="341"/>
      <c r="CB109" s="341"/>
      <c r="CC109" s="341"/>
      <c r="CD109" s="342"/>
      <c r="CE109" s="341"/>
      <c r="CF109" s="341"/>
      <c r="CG109" s="341"/>
      <c r="CH109" s="341"/>
      <c r="CI109" s="352">
        <f t="shared" si="270"/>
        <v>0</v>
      </c>
      <c r="CJ109" s="351">
        <f t="shared" si="271"/>
        <v>0</v>
      </c>
      <c r="CK109" s="351">
        <f t="shared" si="272"/>
        <v>0</v>
      </c>
      <c r="CL109" s="351">
        <f t="shared" si="273"/>
        <v>0</v>
      </c>
      <c r="CM109" s="351">
        <f t="shared" si="274"/>
        <v>0</v>
      </c>
      <c r="CN109" s="352">
        <f t="shared" si="269"/>
        <v>9200</v>
      </c>
      <c r="CO109" s="351">
        <f t="shared" si="269"/>
        <v>0</v>
      </c>
      <c r="CP109" s="351">
        <f t="shared" si="269"/>
        <v>0</v>
      </c>
      <c r="CQ109" s="351">
        <f t="shared" si="269"/>
        <v>0</v>
      </c>
      <c r="CR109" s="351">
        <f t="shared" si="269"/>
        <v>0</v>
      </c>
      <c r="CS109" s="352">
        <f t="shared" si="275"/>
        <v>9200</v>
      </c>
      <c r="CT109" s="14"/>
    </row>
    <row r="110" spans="1:98" s="4" customFormat="1" ht="240" x14ac:dyDescent="0.3">
      <c r="A110" s="358" t="s">
        <v>210</v>
      </c>
      <c r="B110" s="71" t="s">
        <v>1021</v>
      </c>
      <c r="C110" s="348" t="s">
        <v>1022</v>
      </c>
      <c r="D110" s="357" t="s">
        <v>28</v>
      </c>
      <c r="E110" s="357" t="s">
        <v>220</v>
      </c>
      <c r="F110" s="334" t="s">
        <v>1030</v>
      </c>
      <c r="G110" s="40" t="s">
        <v>62</v>
      </c>
      <c r="H110" s="533"/>
      <c r="I110" s="357"/>
      <c r="J110" s="637"/>
      <c r="K110" s="357"/>
      <c r="L110" s="637"/>
      <c r="M110" s="643"/>
      <c r="N110" s="592"/>
      <c r="O110" s="615" t="s">
        <v>1644</v>
      </c>
      <c r="P110" s="556"/>
      <c r="Q110" s="357">
        <v>0</v>
      </c>
      <c r="R110" s="357">
        <v>10</v>
      </c>
      <c r="S110" s="357">
        <v>20</v>
      </c>
      <c r="T110" s="357">
        <v>30</v>
      </c>
      <c r="U110" s="357">
        <v>50</v>
      </c>
      <c r="V110" s="357">
        <v>60</v>
      </c>
      <c r="W110" s="357">
        <v>70</v>
      </c>
      <c r="X110" s="357">
        <v>80</v>
      </c>
      <c r="Y110" s="357">
        <v>80</v>
      </c>
      <c r="Z110" s="357">
        <v>80</v>
      </c>
      <c r="AA110" s="341"/>
      <c r="AB110" s="341"/>
      <c r="AC110" s="341"/>
      <c r="AD110" s="341"/>
      <c r="AE110" s="341"/>
      <c r="AF110" s="341"/>
      <c r="AG110" s="341"/>
      <c r="AH110" s="341"/>
      <c r="AI110" s="341"/>
      <c r="AJ110" s="341"/>
      <c r="AK110" s="341"/>
      <c r="AL110" s="341"/>
      <c r="AM110" s="341"/>
      <c r="AN110" s="341"/>
      <c r="AO110" s="341"/>
      <c r="AP110" s="342">
        <v>6691.4</v>
      </c>
      <c r="AQ110" s="341"/>
      <c r="AR110" s="341"/>
      <c r="AS110" s="341"/>
      <c r="AT110" s="341"/>
      <c r="AU110" s="342">
        <v>33456.800000000003</v>
      </c>
      <c r="AV110" s="341"/>
      <c r="AW110" s="341"/>
      <c r="AX110" s="341"/>
      <c r="AY110" s="341"/>
      <c r="AZ110" s="342">
        <v>33456.800000000003</v>
      </c>
      <c r="BA110" s="341"/>
      <c r="BB110" s="341"/>
      <c r="BC110" s="341"/>
      <c r="BD110" s="341"/>
      <c r="BE110" s="342">
        <v>66913.600000000006</v>
      </c>
      <c r="BF110" s="341"/>
      <c r="BG110" s="341"/>
      <c r="BH110" s="341"/>
      <c r="BI110" s="341"/>
      <c r="BJ110" s="342">
        <v>83642</v>
      </c>
      <c r="BK110" s="341"/>
      <c r="BL110" s="341"/>
      <c r="BM110" s="341"/>
      <c r="BN110" s="341"/>
      <c r="BO110" s="342">
        <v>66913.600000000006</v>
      </c>
      <c r="BP110" s="341"/>
      <c r="BQ110" s="341"/>
      <c r="BR110" s="341"/>
      <c r="BS110" s="341"/>
      <c r="BT110" s="342">
        <v>43493.599999999999</v>
      </c>
      <c r="BU110" s="341"/>
      <c r="BV110" s="341"/>
      <c r="BW110" s="341"/>
      <c r="BX110" s="341"/>
      <c r="BY110" s="342"/>
      <c r="BZ110" s="341"/>
      <c r="CA110" s="341"/>
      <c r="CB110" s="341"/>
      <c r="CC110" s="341"/>
      <c r="CD110" s="342"/>
      <c r="CE110" s="341"/>
      <c r="CF110" s="341"/>
      <c r="CG110" s="341"/>
      <c r="CH110" s="341"/>
      <c r="CI110" s="352">
        <f t="shared" ref="CI110" si="276">AA110+AF110+AK110</f>
        <v>0</v>
      </c>
      <c r="CJ110" s="351">
        <f t="shared" ref="CJ110" si="277">AB110+AG110+AL110</f>
        <v>0</v>
      </c>
      <c r="CK110" s="351">
        <f t="shared" ref="CK110" si="278">AC110+AH110+AM110</f>
        <v>0</v>
      </c>
      <c r="CL110" s="351">
        <f t="shared" ref="CL110" si="279">AD110+AI110+AN110</f>
        <v>0</v>
      </c>
      <c r="CM110" s="351">
        <f t="shared" ref="CM110" si="280">AE110+AJ110+AO110</f>
        <v>0</v>
      </c>
      <c r="CN110" s="352">
        <f t="shared" si="269"/>
        <v>334567.8</v>
      </c>
      <c r="CO110" s="351">
        <f t="shared" si="269"/>
        <v>0</v>
      </c>
      <c r="CP110" s="351">
        <f t="shared" si="269"/>
        <v>0</v>
      </c>
      <c r="CQ110" s="351">
        <f t="shared" si="269"/>
        <v>0</v>
      </c>
      <c r="CR110" s="351">
        <f t="shared" si="269"/>
        <v>0</v>
      </c>
      <c r="CS110" s="352">
        <f t="shared" si="275"/>
        <v>334567.8</v>
      </c>
      <c r="CT110" s="14"/>
    </row>
    <row r="111" spans="1:98" x14ac:dyDescent="0.3">
      <c r="A111" s="363" t="s">
        <v>221</v>
      </c>
      <c r="B111" s="824" t="s">
        <v>222</v>
      </c>
      <c r="C111" s="824"/>
      <c r="D111" s="824"/>
      <c r="E111" s="824"/>
      <c r="F111" s="824"/>
      <c r="G111" s="824"/>
      <c r="H111" s="824"/>
      <c r="I111" s="824"/>
      <c r="J111" s="824"/>
      <c r="K111" s="824"/>
      <c r="L111" s="824"/>
      <c r="M111" s="824"/>
      <c r="N111" s="824"/>
      <c r="O111" s="824"/>
      <c r="P111" s="824"/>
      <c r="Q111" s="824"/>
      <c r="R111" s="824"/>
      <c r="S111" s="824"/>
      <c r="T111" s="824"/>
      <c r="U111" s="824"/>
      <c r="V111" s="824"/>
      <c r="W111" s="824"/>
      <c r="X111" s="824"/>
      <c r="Y111" s="824"/>
      <c r="Z111" s="824"/>
      <c r="AA111" s="824"/>
      <c r="AB111" s="824"/>
      <c r="AC111" s="824"/>
      <c r="AD111" s="824"/>
      <c r="AE111" s="824"/>
      <c r="AF111" s="824"/>
      <c r="AG111" s="824"/>
      <c r="AH111" s="824"/>
      <c r="AI111" s="824"/>
      <c r="AJ111" s="824"/>
      <c r="AK111" s="824"/>
      <c r="AL111" s="824"/>
      <c r="AM111" s="824"/>
      <c r="AN111" s="824"/>
      <c r="AO111" s="824"/>
      <c r="AP111" s="824"/>
      <c r="AQ111" s="824"/>
      <c r="AR111" s="824"/>
      <c r="AS111" s="824"/>
      <c r="AT111" s="824"/>
      <c r="AU111" s="824"/>
      <c r="AV111" s="824"/>
      <c r="AW111" s="824"/>
      <c r="AX111" s="824"/>
      <c r="AY111" s="824"/>
      <c r="AZ111" s="824"/>
      <c r="BA111" s="824"/>
      <c r="BB111" s="824"/>
      <c r="BC111" s="824"/>
      <c r="BD111" s="824"/>
      <c r="BE111" s="824"/>
      <c r="BF111" s="824"/>
      <c r="BG111" s="824"/>
      <c r="BH111" s="824"/>
      <c r="BI111" s="824"/>
      <c r="BJ111" s="824"/>
      <c r="BK111" s="824"/>
      <c r="BL111" s="824"/>
      <c r="BM111" s="824"/>
      <c r="BN111" s="824"/>
      <c r="BO111" s="824"/>
      <c r="BP111" s="824"/>
      <c r="BQ111" s="824"/>
      <c r="BR111" s="824"/>
      <c r="BS111" s="824"/>
      <c r="BT111" s="824"/>
      <c r="BU111" s="824"/>
      <c r="BV111" s="824"/>
      <c r="BW111" s="824"/>
      <c r="BX111" s="824"/>
      <c r="BY111" s="824"/>
      <c r="BZ111" s="824"/>
      <c r="CA111" s="824"/>
      <c r="CB111" s="824"/>
      <c r="CC111" s="824"/>
      <c r="CD111" s="824"/>
      <c r="CE111" s="824"/>
      <c r="CF111" s="824"/>
      <c r="CG111" s="824"/>
      <c r="CH111" s="824"/>
      <c r="CI111" s="824"/>
      <c r="CJ111" s="824"/>
      <c r="CK111" s="824"/>
      <c r="CL111" s="824"/>
      <c r="CM111" s="824"/>
      <c r="CN111" s="56">
        <f>CN112+CN116+CN120</f>
        <v>740739</v>
      </c>
      <c r="CO111" s="56">
        <f t="shared" ref="CO111:CS111" si="281">CO112+CO116+CO120</f>
        <v>108196.1</v>
      </c>
      <c r="CP111" s="56">
        <f t="shared" si="281"/>
        <v>36750.999999999993</v>
      </c>
      <c r="CQ111" s="56">
        <f t="shared" si="281"/>
        <v>0</v>
      </c>
      <c r="CR111" s="56">
        <f t="shared" si="281"/>
        <v>525600</v>
      </c>
      <c r="CS111" s="273">
        <f t="shared" si="281"/>
        <v>70191.899999999994</v>
      </c>
    </row>
    <row r="112" spans="1:98" ht="42.75" customHeight="1" x14ac:dyDescent="0.3">
      <c r="A112" s="362" t="s">
        <v>223</v>
      </c>
      <c r="B112" s="820" t="s">
        <v>224</v>
      </c>
      <c r="C112" s="821"/>
      <c r="D112" s="821"/>
      <c r="E112" s="821"/>
      <c r="F112" s="821"/>
      <c r="G112" s="821"/>
      <c r="H112" s="821"/>
      <c r="I112" s="821"/>
      <c r="J112" s="821"/>
      <c r="K112" s="821"/>
      <c r="L112" s="821"/>
      <c r="M112" s="821"/>
      <c r="N112" s="821"/>
      <c r="O112" s="821"/>
      <c r="P112" s="821"/>
      <c r="Q112" s="821"/>
      <c r="R112" s="821"/>
      <c r="S112" s="821"/>
      <c r="T112" s="821"/>
      <c r="U112" s="821"/>
      <c r="V112" s="821"/>
      <c r="W112" s="821"/>
      <c r="X112" s="821"/>
      <c r="Y112" s="821"/>
      <c r="Z112" s="821"/>
      <c r="AA112" s="821"/>
      <c r="AB112" s="821"/>
      <c r="AC112" s="821"/>
      <c r="AD112" s="821"/>
      <c r="AE112" s="821"/>
      <c r="AF112" s="821"/>
      <c r="AG112" s="821"/>
      <c r="AH112" s="821"/>
      <c r="AI112" s="821"/>
      <c r="AJ112" s="821"/>
      <c r="AK112" s="821"/>
      <c r="AL112" s="821"/>
      <c r="AM112" s="821"/>
      <c r="AN112" s="821"/>
      <c r="AO112" s="821"/>
      <c r="AP112" s="821"/>
      <c r="AQ112" s="821"/>
      <c r="AR112" s="821"/>
      <c r="AS112" s="821"/>
      <c r="AT112" s="821"/>
      <c r="AU112" s="821"/>
      <c r="AV112" s="821"/>
      <c r="AW112" s="821"/>
      <c r="AX112" s="821"/>
      <c r="AY112" s="821"/>
      <c r="AZ112" s="821"/>
      <c r="BA112" s="821"/>
      <c r="BB112" s="821"/>
      <c r="BC112" s="821"/>
      <c r="BD112" s="821"/>
      <c r="BE112" s="821"/>
      <c r="BF112" s="821"/>
      <c r="BG112" s="821"/>
      <c r="BH112" s="821"/>
      <c r="BI112" s="821"/>
      <c r="BJ112" s="821"/>
      <c r="BK112" s="821"/>
      <c r="BL112" s="821"/>
      <c r="BM112" s="821"/>
      <c r="BN112" s="821"/>
      <c r="BO112" s="821"/>
      <c r="BP112" s="821"/>
      <c r="BQ112" s="821"/>
      <c r="BR112" s="821"/>
      <c r="BS112" s="821"/>
      <c r="BT112" s="821"/>
      <c r="BU112" s="821"/>
      <c r="BV112" s="821"/>
      <c r="BW112" s="821"/>
      <c r="BX112" s="821"/>
      <c r="BY112" s="821"/>
      <c r="BZ112" s="821"/>
      <c r="CA112" s="821"/>
      <c r="CB112" s="821"/>
      <c r="CC112" s="821"/>
      <c r="CD112" s="821"/>
      <c r="CE112" s="821"/>
      <c r="CF112" s="821"/>
      <c r="CG112" s="821"/>
      <c r="CH112" s="821"/>
      <c r="CI112" s="821"/>
      <c r="CJ112" s="821"/>
      <c r="CK112" s="821"/>
      <c r="CL112" s="821"/>
      <c r="CM112" s="822"/>
      <c r="CN112" s="277">
        <f>CN113+CN114+CN115</f>
        <v>84606</v>
      </c>
      <c r="CO112" s="277">
        <f t="shared" ref="CO112:CS112" si="282">CO113+CO114+CO115</f>
        <v>13479</v>
      </c>
      <c r="CP112" s="277">
        <f t="shared" si="282"/>
        <v>7672.5</v>
      </c>
      <c r="CQ112" s="277">
        <f t="shared" si="282"/>
        <v>0</v>
      </c>
      <c r="CR112" s="277">
        <f t="shared" si="282"/>
        <v>0</v>
      </c>
      <c r="CS112" s="273">
        <f t="shared" si="282"/>
        <v>63454.5</v>
      </c>
    </row>
    <row r="113" spans="1:98" s="4" customFormat="1" ht="192" x14ac:dyDescent="0.3">
      <c r="A113" s="47" t="s">
        <v>225</v>
      </c>
      <c r="B113" s="134" t="s">
        <v>1064</v>
      </c>
      <c r="C113" s="188" t="s">
        <v>1059</v>
      </c>
      <c r="D113" s="187" t="s">
        <v>1239</v>
      </c>
      <c r="E113" s="187" t="s">
        <v>52</v>
      </c>
      <c r="F113" s="73" t="s">
        <v>1058</v>
      </c>
      <c r="G113" s="187" t="s">
        <v>31</v>
      </c>
      <c r="H113" s="44">
        <v>24</v>
      </c>
      <c r="I113" s="44">
        <v>35</v>
      </c>
      <c r="J113" s="44">
        <v>37</v>
      </c>
      <c r="K113" s="44">
        <v>96</v>
      </c>
      <c r="L113" s="44">
        <v>37</v>
      </c>
      <c r="M113" s="655">
        <v>99</v>
      </c>
      <c r="N113" s="598" t="s">
        <v>1523</v>
      </c>
      <c r="O113" s="617" t="s">
        <v>1626</v>
      </c>
      <c r="P113" s="557"/>
      <c r="Q113" s="44">
        <v>37</v>
      </c>
      <c r="R113" s="44">
        <v>38</v>
      </c>
      <c r="S113" s="44">
        <v>38</v>
      </c>
      <c r="T113" s="44">
        <v>38</v>
      </c>
      <c r="U113" s="44">
        <v>40</v>
      </c>
      <c r="V113" s="44">
        <v>40</v>
      </c>
      <c r="W113" s="44">
        <v>40</v>
      </c>
      <c r="X113" s="44">
        <v>45</v>
      </c>
      <c r="Y113" s="44">
        <v>45</v>
      </c>
      <c r="Z113" s="44">
        <v>45</v>
      </c>
      <c r="AA113" s="165">
        <f>SUM(AB113:AE113)</f>
        <v>1600</v>
      </c>
      <c r="AB113" s="164">
        <v>600</v>
      </c>
      <c r="AC113" s="164">
        <v>1000</v>
      </c>
      <c r="AD113" s="164"/>
      <c r="AE113" s="164"/>
      <c r="AF113" s="165">
        <f>SUM(AG113:AJ113)</f>
        <v>1600</v>
      </c>
      <c r="AG113" s="164">
        <v>600</v>
      </c>
      <c r="AH113" s="164">
        <v>1000</v>
      </c>
      <c r="AI113" s="70"/>
      <c r="AJ113" s="70"/>
      <c r="AK113" s="165">
        <f>SUM(AL113:AO113)</f>
        <v>1600</v>
      </c>
      <c r="AL113" s="164">
        <v>600</v>
      </c>
      <c r="AM113" s="164">
        <v>1000</v>
      </c>
      <c r="AN113" s="70"/>
      <c r="AO113" s="70"/>
      <c r="AP113" s="165">
        <v>1600</v>
      </c>
      <c r="AQ113" s="164"/>
      <c r="AR113" s="70"/>
      <c r="AS113" s="70"/>
      <c r="AT113" s="70"/>
      <c r="AU113" s="165">
        <v>1600</v>
      </c>
      <c r="AV113" s="164"/>
      <c r="AW113" s="164"/>
      <c r="AX113" s="164"/>
      <c r="AY113" s="164"/>
      <c r="AZ113" s="165">
        <v>1600</v>
      </c>
      <c r="BA113" s="164"/>
      <c r="BB113" s="70"/>
      <c r="BC113" s="70"/>
      <c r="BD113" s="70"/>
      <c r="BE113" s="165">
        <v>1600</v>
      </c>
      <c r="BF113" s="164"/>
      <c r="BG113" s="70"/>
      <c r="BH113" s="70"/>
      <c r="BI113" s="70"/>
      <c r="BJ113" s="165">
        <v>1600</v>
      </c>
      <c r="BK113" s="164"/>
      <c r="BL113" s="70"/>
      <c r="BM113" s="70"/>
      <c r="BN113" s="70"/>
      <c r="BO113" s="165">
        <v>1600</v>
      </c>
      <c r="BP113" s="164"/>
      <c r="BQ113" s="70"/>
      <c r="BR113" s="70"/>
      <c r="BS113" s="70"/>
      <c r="BT113" s="165">
        <v>1600</v>
      </c>
      <c r="BU113" s="164"/>
      <c r="BV113" s="70"/>
      <c r="BW113" s="70"/>
      <c r="BX113" s="70"/>
      <c r="BY113" s="165">
        <v>1600</v>
      </c>
      <c r="BZ113" s="164"/>
      <c r="CA113" s="70"/>
      <c r="CB113" s="70"/>
      <c r="CC113" s="70"/>
      <c r="CD113" s="165">
        <v>1600</v>
      </c>
      <c r="CE113" s="164"/>
      <c r="CF113" s="70"/>
      <c r="CG113" s="70"/>
      <c r="CH113" s="70"/>
      <c r="CI113" s="181">
        <f>AA113+AF113+AK113</f>
        <v>4800</v>
      </c>
      <c r="CJ113" s="180">
        <f t="shared" ref="CJ113" si="283">AB113+AG113+AL113</f>
        <v>1800</v>
      </c>
      <c r="CK113" s="180">
        <f t="shared" ref="CK113" si="284">AC113+AH113+AM113</f>
        <v>3000</v>
      </c>
      <c r="CL113" s="180">
        <f t="shared" ref="CL113" si="285">AD113+AI113+AN113</f>
        <v>0</v>
      </c>
      <c r="CM113" s="180">
        <f t="shared" ref="CM113" si="286">AE113+AJ113+AO113</f>
        <v>0</v>
      </c>
      <c r="CN113" s="181">
        <f t="shared" ref="CN113:CR115" si="287">AA113+AF113+AK113+AP113+AU113+AZ113+BE113+BJ113+BO113+BT113+BY113+CD113</f>
        <v>19200</v>
      </c>
      <c r="CO113" s="180">
        <f t="shared" si="287"/>
        <v>1800</v>
      </c>
      <c r="CP113" s="180">
        <f t="shared" si="287"/>
        <v>3000</v>
      </c>
      <c r="CQ113" s="180">
        <f t="shared" si="287"/>
        <v>0</v>
      </c>
      <c r="CR113" s="180">
        <f t="shared" si="287"/>
        <v>0</v>
      </c>
      <c r="CS113" s="273">
        <f>CN113-CO113-CP113-CQ113-CR113</f>
        <v>14400</v>
      </c>
      <c r="CT113" s="14"/>
    </row>
    <row r="114" spans="1:98" s="4" customFormat="1" ht="312" x14ac:dyDescent="0.3">
      <c r="A114" s="47" t="s">
        <v>227</v>
      </c>
      <c r="B114" s="182" t="s">
        <v>1065</v>
      </c>
      <c r="C114" s="188" t="s">
        <v>1061</v>
      </c>
      <c r="D114" s="187" t="s">
        <v>1239</v>
      </c>
      <c r="E114" s="187" t="s">
        <v>52</v>
      </c>
      <c r="F114" s="74" t="s">
        <v>1060</v>
      </c>
      <c r="G114" s="187" t="s">
        <v>62</v>
      </c>
      <c r="H114" s="534">
        <v>41</v>
      </c>
      <c r="I114" s="124">
        <v>47.3</v>
      </c>
      <c r="J114" s="633">
        <v>47.8</v>
      </c>
      <c r="K114" s="522">
        <v>53.5</v>
      </c>
      <c r="L114" s="633">
        <v>47.8</v>
      </c>
      <c r="M114" s="705">
        <v>35.799999999999997</v>
      </c>
      <c r="N114" s="611" t="s">
        <v>1524</v>
      </c>
      <c r="O114" s="617" t="s">
        <v>1696</v>
      </c>
      <c r="P114" s="557"/>
      <c r="Q114" s="124">
        <v>47.8</v>
      </c>
      <c r="R114" s="124">
        <v>48</v>
      </c>
      <c r="S114" s="124">
        <v>48</v>
      </c>
      <c r="T114" s="124">
        <v>48</v>
      </c>
      <c r="U114" s="124">
        <v>48.2</v>
      </c>
      <c r="V114" s="124">
        <v>48.2</v>
      </c>
      <c r="W114" s="124">
        <v>48.2</v>
      </c>
      <c r="X114" s="124">
        <v>48.5</v>
      </c>
      <c r="Y114" s="124">
        <v>48.5</v>
      </c>
      <c r="Z114" s="124">
        <v>48.5</v>
      </c>
      <c r="AA114" s="165">
        <f t="shared" ref="AA114:AA117" si="288">SUM(AB114:AE114)</f>
        <v>3704.4</v>
      </c>
      <c r="AB114" s="164">
        <v>2524.4</v>
      </c>
      <c r="AC114" s="164">
        <v>1180</v>
      </c>
      <c r="AD114" s="164"/>
      <c r="AE114" s="164"/>
      <c r="AF114" s="165">
        <f t="shared" ref="AF114" si="289">SUM(AG114:AJ114)</f>
        <v>3704.4</v>
      </c>
      <c r="AG114" s="164">
        <v>2524.4</v>
      </c>
      <c r="AH114" s="164">
        <v>1180</v>
      </c>
      <c r="AI114" s="70"/>
      <c r="AJ114" s="70"/>
      <c r="AK114" s="165">
        <f t="shared" ref="AK114" si="290">SUM(AL114:AO114)</f>
        <v>3704.4</v>
      </c>
      <c r="AL114" s="164">
        <v>2524.4</v>
      </c>
      <c r="AM114" s="164">
        <v>1180</v>
      </c>
      <c r="AN114" s="70"/>
      <c r="AO114" s="70"/>
      <c r="AP114" s="165">
        <v>3704.4</v>
      </c>
      <c r="AQ114" s="164"/>
      <c r="AR114" s="70"/>
      <c r="AS114" s="70"/>
      <c r="AT114" s="70"/>
      <c r="AU114" s="165">
        <v>3704.4</v>
      </c>
      <c r="AV114" s="164"/>
      <c r="AW114" s="164"/>
      <c r="AX114" s="164"/>
      <c r="AY114" s="164"/>
      <c r="AZ114" s="165">
        <v>3704.4</v>
      </c>
      <c r="BA114" s="164"/>
      <c r="BB114" s="70"/>
      <c r="BC114" s="70"/>
      <c r="BD114" s="70"/>
      <c r="BE114" s="165">
        <v>3704.4</v>
      </c>
      <c r="BF114" s="164"/>
      <c r="BG114" s="70"/>
      <c r="BH114" s="70"/>
      <c r="BI114" s="70"/>
      <c r="BJ114" s="165">
        <v>3704.4</v>
      </c>
      <c r="BK114" s="164"/>
      <c r="BL114" s="70"/>
      <c r="BM114" s="70"/>
      <c r="BN114" s="70"/>
      <c r="BO114" s="165">
        <v>3704.4</v>
      </c>
      <c r="BP114" s="164"/>
      <c r="BQ114" s="70"/>
      <c r="BR114" s="70"/>
      <c r="BS114" s="70"/>
      <c r="BT114" s="165">
        <v>3704.4</v>
      </c>
      <c r="BU114" s="164"/>
      <c r="BV114" s="70"/>
      <c r="BW114" s="70"/>
      <c r="BX114" s="70"/>
      <c r="BY114" s="165">
        <v>3704.4</v>
      </c>
      <c r="BZ114" s="164"/>
      <c r="CA114" s="70"/>
      <c r="CB114" s="70"/>
      <c r="CC114" s="70"/>
      <c r="CD114" s="165">
        <v>3704.4</v>
      </c>
      <c r="CE114" s="164"/>
      <c r="CF114" s="70"/>
      <c r="CG114" s="70"/>
      <c r="CH114" s="70"/>
      <c r="CI114" s="181">
        <f t="shared" ref="CI114" si="291">AA114+AF114+AK114</f>
        <v>11113.2</v>
      </c>
      <c r="CJ114" s="180">
        <f t="shared" ref="CJ114" si="292">AB114+AG114+AL114</f>
        <v>7573.2000000000007</v>
      </c>
      <c r="CK114" s="180">
        <f t="shared" ref="CK114" si="293">AC114+AH114+AM114</f>
        <v>3540</v>
      </c>
      <c r="CL114" s="180">
        <f t="shared" ref="CL114" si="294">AD114+AI114+AN114</f>
        <v>0</v>
      </c>
      <c r="CM114" s="180">
        <f t="shared" ref="CM114" si="295">AE114+AJ114+AO114</f>
        <v>0</v>
      </c>
      <c r="CN114" s="181">
        <f t="shared" si="287"/>
        <v>44452.80000000001</v>
      </c>
      <c r="CO114" s="180">
        <f t="shared" si="287"/>
        <v>7573.2000000000007</v>
      </c>
      <c r="CP114" s="180">
        <f t="shared" si="287"/>
        <v>3540</v>
      </c>
      <c r="CQ114" s="180">
        <f t="shared" si="287"/>
        <v>0</v>
      </c>
      <c r="CR114" s="180">
        <f t="shared" si="287"/>
        <v>0</v>
      </c>
      <c r="CS114" s="273">
        <f t="shared" ref="CS114:CS115" si="296">CN114-CO114-CP114-CQ114-CR114</f>
        <v>33339.600000000006</v>
      </c>
      <c r="CT114" s="14"/>
    </row>
    <row r="115" spans="1:98" s="4" customFormat="1" ht="264" x14ac:dyDescent="0.3">
      <c r="A115" s="47" t="s">
        <v>228</v>
      </c>
      <c r="B115" s="135" t="s">
        <v>1066</v>
      </c>
      <c r="C115" s="188" t="s">
        <v>1063</v>
      </c>
      <c r="D115" s="187" t="s">
        <v>1239</v>
      </c>
      <c r="E115" s="187" t="s">
        <v>52</v>
      </c>
      <c r="F115" s="75" t="s">
        <v>1062</v>
      </c>
      <c r="G115" s="187" t="s">
        <v>74</v>
      </c>
      <c r="H115" s="65">
        <v>4418</v>
      </c>
      <c r="I115" s="65">
        <v>4800</v>
      </c>
      <c r="J115" s="65">
        <v>5039</v>
      </c>
      <c r="K115" s="65">
        <v>12668</v>
      </c>
      <c r="L115" s="65">
        <v>5039</v>
      </c>
      <c r="M115" s="653">
        <v>10676</v>
      </c>
      <c r="N115" s="598" t="s">
        <v>1525</v>
      </c>
      <c r="O115" s="617" t="s">
        <v>1627</v>
      </c>
      <c r="P115" s="557"/>
      <c r="Q115" s="44">
        <v>5039</v>
      </c>
      <c r="R115" s="44">
        <v>5327</v>
      </c>
      <c r="S115" s="44">
        <v>5327</v>
      </c>
      <c r="T115" s="44">
        <v>5327</v>
      </c>
      <c r="U115" s="44">
        <v>5685</v>
      </c>
      <c r="V115" s="44">
        <v>5685</v>
      </c>
      <c r="W115" s="44">
        <v>5685</v>
      </c>
      <c r="X115" s="44">
        <v>6047</v>
      </c>
      <c r="Y115" s="44">
        <v>6047</v>
      </c>
      <c r="Z115" s="44">
        <v>6047</v>
      </c>
      <c r="AA115" s="165">
        <f>SUM(AB115:AE115)</f>
        <v>1746.1</v>
      </c>
      <c r="AB115" s="164">
        <v>1368.6</v>
      </c>
      <c r="AC115" s="164">
        <v>377.5</v>
      </c>
      <c r="AD115" s="164"/>
      <c r="AE115" s="164"/>
      <c r="AF115" s="165">
        <f>SUM(AG115:AJ115)</f>
        <v>1746.1</v>
      </c>
      <c r="AG115" s="164">
        <v>1368.6</v>
      </c>
      <c r="AH115" s="164">
        <v>377.5</v>
      </c>
      <c r="AI115" s="70"/>
      <c r="AJ115" s="70"/>
      <c r="AK115" s="165">
        <f>SUM(AL115:AO115)</f>
        <v>1746.1</v>
      </c>
      <c r="AL115" s="164">
        <v>1368.6</v>
      </c>
      <c r="AM115" s="164">
        <v>377.5</v>
      </c>
      <c r="AN115" s="70"/>
      <c r="AO115" s="70"/>
      <c r="AP115" s="165">
        <v>1746.1</v>
      </c>
      <c r="AQ115" s="164"/>
      <c r="AR115" s="70"/>
      <c r="AS115" s="70"/>
      <c r="AT115" s="70"/>
      <c r="AU115" s="165">
        <v>1746.1</v>
      </c>
      <c r="AV115" s="164"/>
      <c r="AW115" s="164"/>
      <c r="AX115" s="164"/>
      <c r="AY115" s="164"/>
      <c r="AZ115" s="165">
        <v>1746.1</v>
      </c>
      <c r="BA115" s="164"/>
      <c r="BB115" s="70"/>
      <c r="BC115" s="70"/>
      <c r="BD115" s="70"/>
      <c r="BE115" s="165">
        <v>1746.1</v>
      </c>
      <c r="BF115" s="164"/>
      <c r="BG115" s="70"/>
      <c r="BH115" s="70"/>
      <c r="BI115" s="70"/>
      <c r="BJ115" s="165">
        <v>1746.1</v>
      </c>
      <c r="BK115" s="164"/>
      <c r="BL115" s="70"/>
      <c r="BM115" s="70"/>
      <c r="BN115" s="70"/>
      <c r="BO115" s="165">
        <v>1746.1</v>
      </c>
      <c r="BP115" s="164"/>
      <c r="BQ115" s="70"/>
      <c r="BR115" s="70"/>
      <c r="BS115" s="70"/>
      <c r="BT115" s="165">
        <v>1746.1</v>
      </c>
      <c r="BU115" s="164"/>
      <c r="BV115" s="70"/>
      <c r="BW115" s="70"/>
      <c r="BX115" s="70"/>
      <c r="BY115" s="165">
        <v>1746.1</v>
      </c>
      <c r="BZ115" s="164"/>
      <c r="CA115" s="70"/>
      <c r="CB115" s="70"/>
      <c r="CC115" s="70"/>
      <c r="CD115" s="165">
        <v>1746.1</v>
      </c>
      <c r="CE115" s="164"/>
      <c r="CF115" s="70"/>
      <c r="CG115" s="70"/>
      <c r="CH115" s="70"/>
      <c r="CI115" s="181">
        <f>AA115+AF115+AK115</f>
        <v>5238.2999999999993</v>
      </c>
      <c r="CJ115" s="180">
        <f>AB115+AG115+AL115</f>
        <v>4105.7999999999993</v>
      </c>
      <c r="CK115" s="180">
        <f>AC115+AH115+AM115</f>
        <v>1132.5</v>
      </c>
      <c r="CL115" s="180">
        <f>AD115+AI115+AN115</f>
        <v>0</v>
      </c>
      <c r="CM115" s="180">
        <f>AE115+AJ115+AO115</f>
        <v>0</v>
      </c>
      <c r="CN115" s="181">
        <f t="shared" si="287"/>
        <v>20953.199999999997</v>
      </c>
      <c r="CO115" s="180">
        <f t="shared" si="287"/>
        <v>4105.7999999999993</v>
      </c>
      <c r="CP115" s="180">
        <f t="shared" si="287"/>
        <v>1132.5</v>
      </c>
      <c r="CQ115" s="180">
        <f t="shared" si="287"/>
        <v>0</v>
      </c>
      <c r="CR115" s="180">
        <f t="shared" si="287"/>
        <v>0</v>
      </c>
      <c r="CS115" s="273">
        <f t="shared" si="296"/>
        <v>15714.899999999998</v>
      </c>
      <c r="CT115" s="14"/>
    </row>
    <row r="116" spans="1:98" ht="34.5" customHeight="1" x14ac:dyDescent="0.3">
      <c r="A116" s="362" t="s">
        <v>229</v>
      </c>
      <c r="B116" s="813" t="s">
        <v>230</v>
      </c>
      <c r="C116" s="813"/>
      <c r="D116" s="813"/>
      <c r="E116" s="813"/>
      <c r="F116" s="813"/>
      <c r="G116" s="813"/>
      <c r="H116" s="813"/>
      <c r="I116" s="813"/>
      <c r="J116" s="813"/>
      <c r="K116" s="813"/>
      <c r="L116" s="813"/>
      <c r="M116" s="813"/>
      <c r="N116" s="813"/>
      <c r="O116" s="813"/>
      <c r="P116" s="813"/>
      <c r="Q116" s="813"/>
      <c r="R116" s="813"/>
      <c r="S116" s="813"/>
      <c r="T116" s="813"/>
      <c r="U116" s="813"/>
      <c r="V116" s="813"/>
      <c r="W116" s="813"/>
      <c r="X116" s="813"/>
      <c r="Y116" s="813"/>
      <c r="Z116" s="813"/>
      <c r="AA116" s="813"/>
      <c r="AB116" s="813"/>
      <c r="AC116" s="813"/>
      <c r="AD116" s="813"/>
      <c r="AE116" s="813"/>
      <c r="AF116" s="813"/>
      <c r="AG116" s="813"/>
      <c r="AH116" s="813"/>
      <c r="AI116" s="813"/>
      <c r="AJ116" s="813"/>
      <c r="AK116" s="813"/>
      <c r="AL116" s="813"/>
      <c r="AM116" s="813"/>
      <c r="AN116" s="813"/>
      <c r="AO116" s="813"/>
      <c r="AP116" s="813"/>
      <c r="AQ116" s="813"/>
      <c r="AR116" s="813"/>
      <c r="AS116" s="813"/>
      <c r="AT116" s="813"/>
      <c r="AU116" s="813"/>
      <c r="AV116" s="813"/>
      <c r="AW116" s="813"/>
      <c r="AX116" s="813"/>
      <c r="AY116" s="813"/>
      <c r="AZ116" s="813"/>
      <c r="BA116" s="813"/>
      <c r="BB116" s="813"/>
      <c r="BC116" s="813"/>
      <c r="BD116" s="813"/>
      <c r="BE116" s="813"/>
      <c r="BF116" s="813"/>
      <c r="BG116" s="813"/>
      <c r="BH116" s="813"/>
      <c r="BI116" s="813"/>
      <c r="BJ116" s="813"/>
      <c r="BK116" s="813"/>
      <c r="BL116" s="813"/>
      <c r="BM116" s="813"/>
      <c r="BN116" s="813"/>
      <c r="BO116" s="813"/>
      <c r="BP116" s="813"/>
      <c r="BQ116" s="813"/>
      <c r="BR116" s="813"/>
      <c r="BS116" s="813"/>
      <c r="BT116" s="813"/>
      <c r="BU116" s="813"/>
      <c r="BV116" s="813"/>
      <c r="BW116" s="813"/>
      <c r="BX116" s="813"/>
      <c r="BY116" s="813"/>
      <c r="BZ116" s="813"/>
      <c r="CA116" s="813"/>
      <c r="CB116" s="813"/>
      <c r="CC116" s="813"/>
      <c r="CD116" s="813"/>
      <c r="CE116" s="813"/>
      <c r="CF116" s="813"/>
      <c r="CG116" s="813"/>
      <c r="CH116" s="813"/>
      <c r="CI116" s="813"/>
      <c r="CJ116" s="813"/>
      <c r="CK116" s="813"/>
      <c r="CL116" s="813"/>
      <c r="CM116" s="813"/>
      <c r="CN116" s="277">
        <f>CN117+CN118+CN119</f>
        <v>8229.5999999999985</v>
      </c>
      <c r="CO116" s="277">
        <f t="shared" ref="CO116:CS116" si="297">CO117+CO118+CO119</f>
        <v>1368.9</v>
      </c>
      <c r="CP116" s="277">
        <f t="shared" si="297"/>
        <v>753.3</v>
      </c>
      <c r="CQ116" s="277">
        <f t="shared" si="297"/>
        <v>0</v>
      </c>
      <c r="CR116" s="277">
        <f t="shared" si="297"/>
        <v>0</v>
      </c>
      <c r="CS116" s="273">
        <f t="shared" si="297"/>
        <v>6107.4</v>
      </c>
    </row>
    <row r="117" spans="1:98" s="4" customFormat="1" ht="192" x14ac:dyDescent="0.3">
      <c r="A117" s="47" t="s">
        <v>1251</v>
      </c>
      <c r="B117" s="189" t="s">
        <v>232</v>
      </c>
      <c r="C117" s="188" t="s">
        <v>1287</v>
      </c>
      <c r="D117" s="187" t="s">
        <v>1144</v>
      </c>
      <c r="E117" s="187" t="s">
        <v>52</v>
      </c>
      <c r="F117" s="192" t="s">
        <v>231</v>
      </c>
      <c r="G117" s="187" t="s">
        <v>74</v>
      </c>
      <c r="H117" s="533">
        <v>0</v>
      </c>
      <c r="I117" s="187">
        <v>10</v>
      </c>
      <c r="J117" s="637">
        <v>10</v>
      </c>
      <c r="K117" s="289">
        <v>0</v>
      </c>
      <c r="L117" s="637">
        <v>10</v>
      </c>
      <c r="M117" s="643">
        <v>10</v>
      </c>
      <c r="N117" s="598" t="s">
        <v>1526</v>
      </c>
      <c r="O117" s="617"/>
      <c r="P117" s="557"/>
      <c r="Q117" s="187">
        <v>10</v>
      </c>
      <c r="R117" s="187">
        <v>15</v>
      </c>
      <c r="S117" s="187">
        <v>15</v>
      </c>
      <c r="T117" s="187">
        <v>15</v>
      </c>
      <c r="U117" s="187">
        <v>20</v>
      </c>
      <c r="V117" s="187">
        <v>20</v>
      </c>
      <c r="W117" s="187">
        <v>20</v>
      </c>
      <c r="X117" s="187">
        <v>30</v>
      </c>
      <c r="Y117" s="187">
        <v>30</v>
      </c>
      <c r="Z117" s="187">
        <v>30</v>
      </c>
      <c r="AA117" s="165">
        <f t="shared" si="288"/>
        <v>50</v>
      </c>
      <c r="AB117" s="164">
        <v>50</v>
      </c>
      <c r="AC117" s="164"/>
      <c r="AD117" s="164"/>
      <c r="AE117" s="164"/>
      <c r="AF117" s="165">
        <f t="shared" ref="AF117" si="298">SUM(AG117:AJ117)</f>
        <v>50</v>
      </c>
      <c r="AG117" s="164">
        <v>50</v>
      </c>
      <c r="AH117" s="164"/>
      <c r="AI117" s="164"/>
      <c r="AJ117" s="164"/>
      <c r="AK117" s="165">
        <f t="shared" ref="AK117" si="299">SUM(AL117:AO117)</f>
        <v>50</v>
      </c>
      <c r="AL117" s="164">
        <v>50</v>
      </c>
      <c r="AM117" s="70"/>
      <c r="AN117" s="70"/>
      <c r="AO117" s="70"/>
      <c r="AP117" s="165">
        <v>50</v>
      </c>
      <c r="AQ117" s="164"/>
      <c r="AR117" s="70"/>
      <c r="AS117" s="70"/>
      <c r="AT117" s="70"/>
      <c r="AU117" s="165">
        <v>50</v>
      </c>
      <c r="AV117" s="164"/>
      <c r="AW117" s="164"/>
      <c r="AX117" s="164"/>
      <c r="AY117" s="164"/>
      <c r="AZ117" s="165">
        <v>50</v>
      </c>
      <c r="BA117" s="164"/>
      <c r="BB117" s="70"/>
      <c r="BC117" s="70"/>
      <c r="BD117" s="70"/>
      <c r="BE117" s="165">
        <v>50</v>
      </c>
      <c r="BF117" s="164"/>
      <c r="BG117" s="70"/>
      <c r="BH117" s="70"/>
      <c r="BI117" s="70"/>
      <c r="BJ117" s="165">
        <v>50</v>
      </c>
      <c r="BK117" s="164"/>
      <c r="BL117" s="70"/>
      <c r="BM117" s="70"/>
      <c r="BN117" s="70"/>
      <c r="BO117" s="165">
        <v>50</v>
      </c>
      <c r="BP117" s="164"/>
      <c r="BQ117" s="70"/>
      <c r="BR117" s="70"/>
      <c r="BS117" s="70"/>
      <c r="BT117" s="165">
        <v>50</v>
      </c>
      <c r="BU117" s="164"/>
      <c r="BV117" s="70"/>
      <c r="BW117" s="70"/>
      <c r="BX117" s="70"/>
      <c r="BY117" s="165">
        <v>50</v>
      </c>
      <c r="BZ117" s="164"/>
      <c r="CA117" s="70"/>
      <c r="CB117" s="70"/>
      <c r="CC117" s="70"/>
      <c r="CD117" s="165">
        <v>50</v>
      </c>
      <c r="CE117" s="164"/>
      <c r="CF117" s="70"/>
      <c r="CG117" s="70"/>
      <c r="CH117" s="70"/>
      <c r="CI117" s="181">
        <f t="shared" ref="CI117" si="300">AA117+AF117+AK117</f>
        <v>150</v>
      </c>
      <c r="CJ117" s="180">
        <f t="shared" ref="CJ117" si="301">AB117+AG117+AL117</f>
        <v>150</v>
      </c>
      <c r="CK117" s="180">
        <f t="shared" ref="CK117" si="302">AC117+AH117+AM117</f>
        <v>0</v>
      </c>
      <c r="CL117" s="180">
        <f t="shared" ref="CL117" si="303">AD117+AI117+AN117</f>
        <v>0</v>
      </c>
      <c r="CM117" s="180">
        <f t="shared" ref="CM117" si="304">AE117+AJ117+AO117</f>
        <v>0</v>
      </c>
      <c r="CN117" s="181">
        <f t="shared" ref="CN117:CR119" si="305">AA117+AF117+AK117+AP117+AU117+AZ117+BE117+BJ117+BO117+BT117+BY117+CD117</f>
        <v>600</v>
      </c>
      <c r="CO117" s="180">
        <f t="shared" si="305"/>
        <v>150</v>
      </c>
      <c r="CP117" s="180">
        <f t="shared" si="305"/>
        <v>0</v>
      </c>
      <c r="CQ117" s="180">
        <f t="shared" si="305"/>
        <v>0</v>
      </c>
      <c r="CR117" s="180">
        <f t="shared" si="305"/>
        <v>0</v>
      </c>
      <c r="CS117" s="273">
        <f t="shared" ref="CS117:CS119" si="306">CN117-CO117-CP117-CQ117-CR117</f>
        <v>450</v>
      </c>
      <c r="CT117" s="14"/>
    </row>
    <row r="118" spans="1:98" s="4" customFormat="1" ht="360" x14ac:dyDescent="0.3">
      <c r="A118" s="47" t="s">
        <v>1252</v>
      </c>
      <c r="B118" s="134" t="s">
        <v>1069</v>
      </c>
      <c r="C118" s="188" t="s">
        <v>1138</v>
      </c>
      <c r="D118" s="187" t="s">
        <v>1067</v>
      </c>
      <c r="E118" s="187" t="s">
        <v>52</v>
      </c>
      <c r="F118" s="73" t="s">
        <v>1068</v>
      </c>
      <c r="G118" s="187" t="s">
        <v>74</v>
      </c>
      <c r="H118" s="65">
        <v>23988</v>
      </c>
      <c r="I118" s="65">
        <v>25200</v>
      </c>
      <c r="J118" s="65">
        <v>25200</v>
      </c>
      <c r="K118" s="65">
        <v>19565</v>
      </c>
      <c r="L118" s="65">
        <v>25200</v>
      </c>
      <c r="M118" s="653">
        <v>25221</v>
      </c>
      <c r="N118" s="598" t="s">
        <v>1527</v>
      </c>
      <c r="O118" s="617"/>
      <c r="P118" s="557"/>
      <c r="Q118" s="65">
        <v>25200</v>
      </c>
      <c r="R118" s="65">
        <v>25340</v>
      </c>
      <c r="S118" s="65">
        <v>25340</v>
      </c>
      <c r="T118" s="65">
        <v>25340</v>
      </c>
      <c r="U118" s="65">
        <v>25520</v>
      </c>
      <c r="V118" s="65">
        <v>25520</v>
      </c>
      <c r="W118" s="65">
        <v>25520</v>
      </c>
      <c r="X118" s="65">
        <v>25850</v>
      </c>
      <c r="Y118" s="65">
        <v>25850</v>
      </c>
      <c r="Z118" s="65">
        <v>25850</v>
      </c>
      <c r="AA118" s="165">
        <f>SUM(AB118:AE118)</f>
        <v>443</v>
      </c>
      <c r="AB118" s="164">
        <v>191.9</v>
      </c>
      <c r="AC118" s="164">
        <v>251.1</v>
      </c>
      <c r="AD118" s="164"/>
      <c r="AE118" s="164"/>
      <c r="AF118" s="165">
        <f>SUM(AG118:AJ118)</f>
        <v>443</v>
      </c>
      <c r="AG118" s="164">
        <v>191.9</v>
      </c>
      <c r="AH118" s="164">
        <v>251.1</v>
      </c>
      <c r="AI118" s="164"/>
      <c r="AJ118" s="164"/>
      <c r="AK118" s="165">
        <f>SUM(AL118:AO118)</f>
        <v>443</v>
      </c>
      <c r="AL118" s="164">
        <v>191.9</v>
      </c>
      <c r="AM118" s="164">
        <v>251.1</v>
      </c>
      <c r="AN118" s="166"/>
      <c r="AO118" s="166"/>
      <c r="AP118" s="165">
        <v>443</v>
      </c>
      <c r="AQ118" s="166"/>
      <c r="AR118" s="166"/>
      <c r="AS118" s="166"/>
      <c r="AT118" s="166"/>
      <c r="AU118" s="165">
        <v>443</v>
      </c>
      <c r="AV118" s="166"/>
      <c r="AW118" s="166"/>
      <c r="AX118" s="166"/>
      <c r="AY118" s="166"/>
      <c r="AZ118" s="165">
        <v>443</v>
      </c>
      <c r="BA118" s="166"/>
      <c r="BB118" s="166"/>
      <c r="BC118" s="166"/>
      <c r="BD118" s="166"/>
      <c r="BE118" s="165">
        <v>443</v>
      </c>
      <c r="BF118" s="166"/>
      <c r="BG118" s="166"/>
      <c r="BH118" s="166"/>
      <c r="BI118" s="166"/>
      <c r="BJ118" s="165">
        <v>443</v>
      </c>
      <c r="BK118" s="166"/>
      <c r="BL118" s="166"/>
      <c r="BM118" s="166"/>
      <c r="BN118" s="166"/>
      <c r="BO118" s="165">
        <v>443</v>
      </c>
      <c r="BP118" s="166"/>
      <c r="BQ118" s="166"/>
      <c r="BR118" s="166"/>
      <c r="BS118" s="166"/>
      <c r="BT118" s="165">
        <v>443</v>
      </c>
      <c r="BU118" s="166"/>
      <c r="BV118" s="166"/>
      <c r="BW118" s="166"/>
      <c r="BX118" s="166"/>
      <c r="BY118" s="165">
        <v>443</v>
      </c>
      <c r="BZ118" s="166"/>
      <c r="CA118" s="166"/>
      <c r="CB118" s="166"/>
      <c r="CC118" s="166"/>
      <c r="CD118" s="165">
        <v>443</v>
      </c>
      <c r="CE118" s="166"/>
      <c r="CF118" s="166"/>
      <c r="CG118" s="166"/>
      <c r="CH118" s="166"/>
      <c r="CI118" s="181">
        <f t="shared" ref="CI118" si="307">AA118+AF118+AK118</f>
        <v>1329</v>
      </c>
      <c r="CJ118" s="180">
        <f t="shared" ref="CJ118" si="308">AB118+AG118+AL118</f>
        <v>575.70000000000005</v>
      </c>
      <c r="CK118" s="180">
        <f t="shared" ref="CK118" si="309">AC118+AH118+AM118</f>
        <v>753.3</v>
      </c>
      <c r="CL118" s="180">
        <f t="shared" ref="CL118" si="310">AD118+AI118+AN118</f>
        <v>0</v>
      </c>
      <c r="CM118" s="180">
        <f t="shared" ref="CM118" si="311">AE118+AJ118+AO118</f>
        <v>0</v>
      </c>
      <c r="CN118" s="181">
        <f t="shared" si="305"/>
        <v>5316</v>
      </c>
      <c r="CO118" s="180">
        <f t="shared" si="305"/>
        <v>575.70000000000005</v>
      </c>
      <c r="CP118" s="180">
        <f t="shared" si="305"/>
        <v>753.3</v>
      </c>
      <c r="CQ118" s="180">
        <f t="shared" si="305"/>
        <v>0</v>
      </c>
      <c r="CR118" s="180">
        <f t="shared" si="305"/>
        <v>0</v>
      </c>
      <c r="CS118" s="273">
        <f t="shared" si="306"/>
        <v>3987</v>
      </c>
      <c r="CT118" s="14"/>
    </row>
    <row r="119" spans="1:98" s="4" customFormat="1" ht="288" x14ac:dyDescent="0.3">
      <c r="A119" s="47" t="s">
        <v>1095</v>
      </c>
      <c r="B119" s="189" t="s">
        <v>1071</v>
      </c>
      <c r="C119" s="188" t="s">
        <v>1288</v>
      </c>
      <c r="D119" s="187" t="s">
        <v>1067</v>
      </c>
      <c r="E119" s="187" t="s">
        <v>52</v>
      </c>
      <c r="F119" s="192" t="s">
        <v>1745</v>
      </c>
      <c r="G119" s="187" t="s">
        <v>74</v>
      </c>
      <c r="H119" s="533">
        <v>18</v>
      </c>
      <c r="I119" s="44">
        <v>40</v>
      </c>
      <c r="J119" s="44">
        <v>40</v>
      </c>
      <c r="K119" s="44">
        <v>39</v>
      </c>
      <c r="L119" s="44">
        <v>40</v>
      </c>
      <c r="M119" s="655">
        <v>0</v>
      </c>
      <c r="N119" s="598" t="s">
        <v>1526</v>
      </c>
      <c r="O119" s="617" t="s">
        <v>1660</v>
      </c>
      <c r="P119" s="557"/>
      <c r="Q119" s="44">
        <v>40</v>
      </c>
      <c r="R119" s="44">
        <v>42</v>
      </c>
      <c r="S119" s="44">
        <v>42</v>
      </c>
      <c r="T119" s="44">
        <v>42</v>
      </c>
      <c r="U119" s="44">
        <v>45</v>
      </c>
      <c r="V119" s="44">
        <v>45</v>
      </c>
      <c r="W119" s="44">
        <v>45</v>
      </c>
      <c r="X119" s="44">
        <v>50</v>
      </c>
      <c r="Y119" s="44">
        <v>50</v>
      </c>
      <c r="Z119" s="44">
        <v>50</v>
      </c>
      <c r="AA119" s="165">
        <f t="shared" ref="AA119" si="312">SUM(AB119:AE119)</f>
        <v>205.4</v>
      </c>
      <c r="AB119" s="164">
        <v>205.4</v>
      </c>
      <c r="AC119" s="164"/>
      <c r="AD119" s="164"/>
      <c r="AE119" s="164"/>
      <c r="AF119" s="165">
        <f t="shared" ref="AF119" si="313">SUM(AG119:AJ119)</f>
        <v>252.2</v>
      </c>
      <c r="AG119" s="70">
        <v>252.2</v>
      </c>
      <c r="AH119" s="70"/>
      <c r="AI119" s="70"/>
      <c r="AJ119" s="70"/>
      <c r="AK119" s="165">
        <f t="shared" ref="AK119" si="314">SUM(AL119:AO119)</f>
        <v>185.6</v>
      </c>
      <c r="AL119" s="70">
        <v>185.6</v>
      </c>
      <c r="AM119" s="70"/>
      <c r="AN119" s="70"/>
      <c r="AO119" s="70"/>
      <c r="AP119" s="165">
        <v>185.6</v>
      </c>
      <c r="AQ119" s="70"/>
      <c r="AR119" s="70"/>
      <c r="AS119" s="70"/>
      <c r="AT119" s="70"/>
      <c r="AU119" s="165">
        <v>185.6</v>
      </c>
      <c r="AV119" s="70"/>
      <c r="AW119" s="70"/>
      <c r="AX119" s="70"/>
      <c r="AY119" s="70"/>
      <c r="AZ119" s="165">
        <v>185.6</v>
      </c>
      <c r="BA119" s="70"/>
      <c r="BB119" s="70"/>
      <c r="BC119" s="70"/>
      <c r="BD119" s="70"/>
      <c r="BE119" s="165">
        <v>185.6</v>
      </c>
      <c r="BF119" s="70"/>
      <c r="BG119" s="70"/>
      <c r="BH119" s="70"/>
      <c r="BI119" s="70"/>
      <c r="BJ119" s="165">
        <v>185.6</v>
      </c>
      <c r="BK119" s="70"/>
      <c r="BL119" s="70"/>
      <c r="BM119" s="70"/>
      <c r="BN119" s="70"/>
      <c r="BO119" s="165">
        <v>185.6</v>
      </c>
      <c r="BP119" s="70"/>
      <c r="BQ119" s="70"/>
      <c r="BR119" s="70"/>
      <c r="BS119" s="70"/>
      <c r="BT119" s="165">
        <v>185.6</v>
      </c>
      <c r="BU119" s="70"/>
      <c r="BV119" s="70"/>
      <c r="BW119" s="70"/>
      <c r="BX119" s="70"/>
      <c r="BY119" s="165">
        <v>185.6</v>
      </c>
      <c r="BZ119" s="70"/>
      <c r="CA119" s="70"/>
      <c r="CB119" s="70"/>
      <c r="CC119" s="70"/>
      <c r="CD119" s="165">
        <v>185.6</v>
      </c>
      <c r="CE119" s="70"/>
      <c r="CF119" s="70"/>
      <c r="CG119" s="70"/>
      <c r="CH119" s="70"/>
      <c r="CI119" s="181">
        <f t="shared" ref="CI119:CM119" si="315">AA119+AF119+AK119</f>
        <v>643.20000000000005</v>
      </c>
      <c r="CJ119" s="180">
        <f t="shared" si="315"/>
        <v>643.20000000000005</v>
      </c>
      <c r="CK119" s="180">
        <f t="shared" si="315"/>
        <v>0</v>
      </c>
      <c r="CL119" s="180">
        <f t="shared" si="315"/>
        <v>0</v>
      </c>
      <c r="CM119" s="180">
        <f t="shared" si="315"/>
        <v>0</v>
      </c>
      <c r="CN119" s="181">
        <f t="shared" si="305"/>
        <v>2313.5999999999995</v>
      </c>
      <c r="CO119" s="180">
        <f t="shared" si="305"/>
        <v>643.20000000000005</v>
      </c>
      <c r="CP119" s="180">
        <f t="shared" si="305"/>
        <v>0</v>
      </c>
      <c r="CQ119" s="180">
        <f t="shared" si="305"/>
        <v>0</v>
      </c>
      <c r="CR119" s="180">
        <f t="shared" si="305"/>
        <v>0</v>
      </c>
      <c r="CS119" s="273">
        <f t="shared" si="306"/>
        <v>1670.3999999999994</v>
      </c>
      <c r="CT119" s="14"/>
    </row>
    <row r="120" spans="1:98" ht="30.75" customHeight="1" x14ac:dyDescent="0.3">
      <c r="A120" s="362" t="s">
        <v>233</v>
      </c>
      <c r="B120" s="813" t="s">
        <v>234</v>
      </c>
      <c r="C120" s="813"/>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3"/>
      <c r="AA120" s="813"/>
      <c r="AB120" s="813"/>
      <c r="AC120" s="813"/>
      <c r="AD120" s="813"/>
      <c r="AE120" s="813"/>
      <c r="AF120" s="813"/>
      <c r="AG120" s="813"/>
      <c r="AH120" s="813"/>
      <c r="AI120" s="813"/>
      <c r="AJ120" s="813"/>
      <c r="AK120" s="813"/>
      <c r="AL120" s="813"/>
      <c r="AM120" s="813"/>
      <c r="AN120" s="813"/>
      <c r="AO120" s="813"/>
      <c r="AP120" s="813"/>
      <c r="AQ120" s="813"/>
      <c r="AR120" s="813"/>
      <c r="AS120" s="813"/>
      <c r="AT120" s="813"/>
      <c r="AU120" s="813"/>
      <c r="AV120" s="813"/>
      <c r="AW120" s="813"/>
      <c r="AX120" s="813"/>
      <c r="AY120" s="813"/>
      <c r="AZ120" s="813"/>
      <c r="BA120" s="813"/>
      <c r="BB120" s="813"/>
      <c r="BC120" s="813"/>
      <c r="BD120" s="813"/>
      <c r="BE120" s="813"/>
      <c r="BF120" s="813"/>
      <c r="BG120" s="813"/>
      <c r="BH120" s="813"/>
      <c r="BI120" s="813"/>
      <c r="BJ120" s="813"/>
      <c r="BK120" s="813"/>
      <c r="BL120" s="813"/>
      <c r="BM120" s="813"/>
      <c r="BN120" s="813"/>
      <c r="BO120" s="813"/>
      <c r="BP120" s="813"/>
      <c r="BQ120" s="813"/>
      <c r="BR120" s="813"/>
      <c r="BS120" s="813"/>
      <c r="BT120" s="813"/>
      <c r="BU120" s="813"/>
      <c r="BV120" s="813"/>
      <c r="BW120" s="813"/>
      <c r="BX120" s="813"/>
      <c r="BY120" s="813"/>
      <c r="BZ120" s="813"/>
      <c r="CA120" s="813"/>
      <c r="CB120" s="813"/>
      <c r="CC120" s="813"/>
      <c r="CD120" s="813"/>
      <c r="CE120" s="813"/>
      <c r="CF120" s="813"/>
      <c r="CG120" s="813"/>
      <c r="CH120" s="813"/>
      <c r="CI120" s="813"/>
      <c r="CJ120" s="813"/>
      <c r="CK120" s="813"/>
      <c r="CL120" s="813"/>
      <c r="CM120" s="813"/>
      <c r="CN120" s="277">
        <f>CN121+CN123+CN124+CN125</f>
        <v>647903.4</v>
      </c>
      <c r="CO120" s="277">
        <f t="shared" ref="CO120:CS120" si="316">CO121+CO123+CO124+CO125</f>
        <v>93348.200000000012</v>
      </c>
      <c r="CP120" s="277">
        <f t="shared" si="316"/>
        <v>28325.199999999993</v>
      </c>
      <c r="CQ120" s="277">
        <f t="shared" si="316"/>
        <v>0</v>
      </c>
      <c r="CR120" s="277">
        <f t="shared" si="316"/>
        <v>525600</v>
      </c>
      <c r="CS120" s="273">
        <f t="shared" si="316"/>
        <v>630</v>
      </c>
    </row>
    <row r="121" spans="1:98" s="4" customFormat="1" ht="168" customHeight="1" x14ac:dyDescent="0.3">
      <c r="A121" s="862" t="s">
        <v>235</v>
      </c>
      <c r="B121" s="859" t="s">
        <v>236</v>
      </c>
      <c r="C121" s="859" t="s">
        <v>1289</v>
      </c>
      <c r="D121" s="714" t="s">
        <v>237</v>
      </c>
      <c r="E121" s="714" t="s">
        <v>52</v>
      </c>
      <c r="F121" s="481" t="s">
        <v>1002</v>
      </c>
      <c r="G121" s="503" t="s">
        <v>74</v>
      </c>
      <c r="H121" s="533">
        <v>743</v>
      </c>
      <c r="I121" s="503">
        <v>805</v>
      </c>
      <c r="J121" s="637">
        <v>805</v>
      </c>
      <c r="K121" s="503" t="s">
        <v>140</v>
      </c>
      <c r="L121" s="637">
        <v>805</v>
      </c>
      <c r="M121" s="643">
        <v>887</v>
      </c>
      <c r="N121" s="777" t="s">
        <v>1746</v>
      </c>
      <c r="O121" s="777" t="s">
        <v>1688</v>
      </c>
      <c r="P121" s="550"/>
      <c r="Q121" s="503">
        <v>805</v>
      </c>
      <c r="R121" s="503">
        <v>805</v>
      </c>
      <c r="S121" s="503">
        <v>805</v>
      </c>
      <c r="T121" s="503">
        <v>805</v>
      </c>
      <c r="U121" s="503">
        <v>805</v>
      </c>
      <c r="V121" s="503">
        <v>805</v>
      </c>
      <c r="W121" s="503">
        <v>805</v>
      </c>
      <c r="X121" s="503">
        <v>805</v>
      </c>
      <c r="Y121" s="503">
        <v>805</v>
      </c>
      <c r="Z121" s="503">
        <v>805</v>
      </c>
      <c r="AA121" s="767">
        <f>SUM(AB121:AE121)</f>
        <v>48086</v>
      </c>
      <c r="AB121" s="765">
        <v>1928.9</v>
      </c>
      <c r="AC121" s="765">
        <v>2357.1</v>
      </c>
      <c r="AD121" s="765"/>
      <c r="AE121" s="765">
        <v>43800</v>
      </c>
      <c r="AF121" s="767">
        <f>SUM(AG121:AJ121)</f>
        <v>48086</v>
      </c>
      <c r="AG121" s="765">
        <v>1928.9</v>
      </c>
      <c r="AH121" s="765">
        <v>2357.1</v>
      </c>
      <c r="AI121" s="765"/>
      <c r="AJ121" s="765">
        <v>43800</v>
      </c>
      <c r="AK121" s="767">
        <f>SUM(AL121:AO121)</f>
        <v>48086</v>
      </c>
      <c r="AL121" s="765">
        <v>1928.9</v>
      </c>
      <c r="AM121" s="765">
        <v>2357.1</v>
      </c>
      <c r="AN121" s="765"/>
      <c r="AO121" s="765">
        <v>43800</v>
      </c>
      <c r="AP121" s="767">
        <f t="shared" ref="AP121" si="317">SUM(AQ121:AT121)</f>
        <v>48086</v>
      </c>
      <c r="AQ121" s="765">
        <v>1928.9</v>
      </c>
      <c r="AR121" s="765">
        <v>2357.1</v>
      </c>
      <c r="AS121" s="765"/>
      <c r="AT121" s="765">
        <v>43800</v>
      </c>
      <c r="AU121" s="767">
        <f t="shared" ref="AU121" si="318">SUM(AV121:AY121)</f>
        <v>48086</v>
      </c>
      <c r="AV121" s="765">
        <v>1928.9</v>
      </c>
      <c r="AW121" s="765">
        <v>2357.1</v>
      </c>
      <c r="AX121" s="765"/>
      <c r="AY121" s="765">
        <v>43800</v>
      </c>
      <c r="AZ121" s="767">
        <f t="shared" ref="AZ121" si="319">SUM(BA121:BD121)</f>
        <v>48086</v>
      </c>
      <c r="BA121" s="765">
        <v>1928.9</v>
      </c>
      <c r="BB121" s="765">
        <v>2357.1</v>
      </c>
      <c r="BC121" s="765"/>
      <c r="BD121" s="765">
        <v>43800</v>
      </c>
      <c r="BE121" s="767">
        <f t="shared" ref="BE121" si="320">SUM(BF121:BI121)</f>
        <v>48086</v>
      </c>
      <c r="BF121" s="765">
        <v>1928.9</v>
      </c>
      <c r="BG121" s="765">
        <v>2357.1</v>
      </c>
      <c r="BH121" s="765"/>
      <c r="BI121" s="765">
        <v>43800</v>
      </c>
      <c r="BJ121" s="767">
        <f t="shared" ref="BJ121" si="321">SUM(BK121:BN121)</f>
        <v>48086</v>
      </c>
      <c r="BK121" s="765">
        <v>1928.9</v>
      </c>
      <c r="BL121" s="765">
        <v>2357.1</v>
      </c>
      <c r="BM121" s="765"/>
      <c r="BN121" s="765">
        <v>43800</v>
      </c>
      <c r="BO121" s="767">
        <f t="shared" ref="BO121" si="322">SUM(BP121:BS121)</f>
        <v>48086</v>
      </c>
      <c r="BP121" s="765">
        <v>1928.9</v>
      </c>
      <c r="BQ121" s="765">
        <v>2357.1</v>
      </c>
      <c r="BR121" s="765"/>
      <c r="BS121" s="765">
        <v>43800</v>
      </c>
      <c r="BT121" s="767">
        <f t="shared" ref="BT121" si="323">SUM(BU121:BX121)</f>
        <v>48086</v>
      </c>
      <c r="BU121" s="765">
        <v>1928.9</v>
      </c>
      <c r="BV121" s="765">
        <v>2357.1</v>
      </c>
      <c r="BW121" s="765"/>
      <c r="BX121" s="765">
        <v>43800</v>
      </c>
      <c r="BY121" s="767">
        <f t="shared" ref="BY121" si="324">SUM(BZ121:CC121)</f>
        <v>48086</v>
      </c>
      <c r="BZ121" s="765">
        <v>1928.9</v>
      </c>
      <c r="CA121" s="765">
        <v>2357.1</v>
      </c>
      <c r="CB121" s="765"/>
      <c r="CC121" s="765">
        <v>43800</v>
      </c>
      <c r="CD121" s="767">
        <f t="shared" ref="CD121" si="325">SUM(CE121:CH121)</f>
        <v>48086</v>
      </c>
      <c r="CE121" s="765">
        <v>1928.9</v>
      </c>
      <c r="CF121" s="765">
        <v>2357.1</v>
      </c>
      <c r="CG121" s="765"/>
      <c r="CH121" s="765">
        <v>43800</v>
      </c>
      <c r="CI121" s="773">
        <f t="shared" ref="CI121" si="326">AA121+AF121+AK121</f>
        <v>144258</v>
      </c>
      <c r="CJ121" s="791">
        <f t="shared" ref="CJ121" si="327">AB121+AG121+AL121</f>
        <v>5786.7000000000007</v>
      </c>
      <c r="CK121" s="791">
        <f t="shared" ref="CK121" si="328">AC121+AH121+AM121</f>
        <v>7071.2999999999993</v>
      </c>
      <c r="CL121" s="791">
        <f t="shared" ref="CL121" si="329">AD121+AI121+AN121</f>
        <v>0</v>
      </c>
      <c r="CM121" s="791">
        <f t="shared" ref="CM121" si="330">AE121+AJ121+AO121</f>
        <v>131400</v>
      </c>
      <c r="CN121" s="773">
        <f>AA121+AF121+AK121+AP121+AU121+AZ121+BE121+BJ121+BO121+BT121+BY121+CD121</f>
        <v>577032</v>
      </c>
      <c r="CO121" s="791">
        <f>AB121+AG121+AL121+AQ121+AV121+BA121+BF121+BK121+BP121+BU121+BZ121+CE121</f>
        <v>23146.800000000003</v>
      </c>
      <c r="CP121" s="791">
        <f>AC121+AH121+AM121+AR121+AW121+BB121+BG121+BL121+BQ121+BV121+CA121+CF121</f>
        <v>28285.199999999993</v>
      </c>
      <c r="CQ121" s="791">
        <f>AD121+AI121+AN121+AS121+AX121+BC121+BH121+BM121+BR121+BW121+CB121+CG121</f>
        <v>0</v>
      </c>
      <c r="CR121" s="791">
        <f>AE121+AJ121+AO121+AT121+AY121+BD121+BI121+BN121+BS121+BX121+CC121+CH121</f>
        <v>525600</v>
      </c>
      <c r="CS121" s="773">
        <f>CN121-CO121-CP121-CQ121-CR121</f>
        <v>0</v>
      </c>
      <c r="CT121" s="760"/>
    </row>
    <row r="122" spans="1:98" s="4" customFormat="1" ht="192" x14ac:dyDescent="0.3">
      <c r="A122" s="863"/>
      <c r="B122" s="861"/>
      <c r="C122" s="861"/>
      <c r="D122" s="715"/>
      <c r="E122" s="715"/>
      <c r="F122" s="481" t="s">
        <v>238</v>
      </c>
      <c r="G122" s="503" t="s">
        <v>62</v>
      </c>
      <c r="H122" s="533" t="s">
        <v>140</v>
      </c>
      <c r="I122" s="503">
        <v>7.9</v>
      </c>
      <c r="J122" s="637">
        <v>7.9</v>
      </c>
      <c r="K122" s="503" t="s">
        <v>140</v>
      </c>
      <c r="L122" s="637">
        <v>7.9</v>
      </c>
      <c r="M122" s="643">
        <v>8.1999999999999993</v>
      </c>
      <c r="N122" s="778"/>
      <c r="O122" s="778"/>
      <c r="P122" s="551"/>
      <c r="Q122" s="503">
        <v>7.9</v>
      </c>
      <c r="R122" s="503">
        <v>7.9</v>
      </c>
      <c r="S122" s="503">
        <v>7.9</v>
      </c>
      <c r="T122" s="503">
        <v>7.9</v>
      </c>
      <c r="U122" s="503">
        <v>7.9</v>
      </c>
      <c r="V122" s="503">
        <v>7.9</v>
      </c>
      <c r="W122" s="503">
        <v>7.9</v>
      </c>
      <c r="X122" s="503">
        <v>7.9</v>
      </c>
      <c r="Y122" s="503">
        <v>7.9</v>
      </c>
      <c r="Z122" s="503">
        <v>7.9</v>
      </c>
      <c r="AA122" s="768"/>
      <c r="AB122" s="766"/>
      <c r="AC122" s="766"/>
      <c r="AD122" s="766"/>
      <c r="AE122" s="766"/>
      <c r="AF122" s="768"/>
      <c r="AG122" s="766"/>
      <c r="AH122" s="766"/>
      <c r="AI122" s="766"/>
      <c r="AJ122" s="766"/>
      <c r="AK122" s="768"/>
      <c r="AL122" s="766"/>
      <c r="AM122" s="766"/>
      <c r="AN122" s="766"/>
      <c r="AO122" s="766"/>
      <c r="AP122" s="768"/>
      <c r="AQ122" s="766"/>
      <c r="AR122" s="766"/>
      <c r="AS122" s="766"/>
      <c r="AT122" s="766"/>
      <c r="AU122" s="768"/>
      <c r="AV122" s="766"/>
      <c r="AW122" s="766"/>
      <c r="AX122" s="766"/>
      <c r="AY122" s="766"/>
      <c r="AZ122" s="768"/>
      <c r="BA122" s="766"/>
      <c r="BB122" s="766"/>
      <c r="BC122" s="766"/>
      <c r="BD122" s="766"/>
      <c r="BE122" s="768"/>
      <c r="BF122" s="766"/>
      <c r="BG122" s="766"/>
      <c r="BH122" s="766"/>
      <c r="BI122" s="766"/>
      <c r="BJ122" s="768"/>
      <c r="BK122" s="766"/>
      <c r="BL122" s="766"/>
      <c r="BM122" s="766"/>
      <c r="BN122" s="766"/>
      <c r="BO122" s="768"/>
      <c r="BP122" s="766"/>
      <c r="BQ122" s="766"/>
      <c r="BR122" s="766"/>
      <c r="BS122" s="766"/>
      <c r="BT122" s="768"/>
      <c r="BU122" s="766"/>
      <c r="BV122" s="766"/>
      <c r="BW122" s="766"/>
      <c r="BX122" s="766"/>
      <c r="BY122" s="768"/>
      <c r="BZ122" s="766"/>
      <c r="CA122" s="766"/>
      <c r="CB122" s="766"/>
      <c r="CC122" s="766"/>
      <c r="CD122" s="768"/>
      <c r="CE122" s="766"/>
      <c r="CF122" s="766"/>
      <c r="CG122" s="766"/>
      <c r="CH122" s="766"/>
      <c r="CI122" s="774"/>
      <c r="CJ122" s="792"/>
      <c r="CK122" s="792"/>
      <c r="CL122" s="792"/>
      <c r="CM122" s="792"/>
      <c r="CN122" s="774"/>
      <c r="CO122" s="792"/>
      <c r="CP122" s="792"/>
      <c r="CQ122" s="792"/>
      <c r="CR122" s="792"/>
      <c r="CS122" s="774"/>
      <c r="CT122" s="760"/>
    </row>
    <row r="123" spans="1:98" s="4" customFormat="1" ht="96" x14ac:dyDescent="0.3">
      <c r="A123" s="47" t="s">
        <v>239</v>
      </c>
      <c r="B123" s="189" t="s">
        <v>240</v>
      </c>
      <c r="C123" s="188" t="s">
        <v>1290</v>
      </c>
      <c r="D123" s="187" t="s">
        <v>241</v>
      </c>
      <c r="E123" s="187" t="s">
        <v>52</v>
      </c>
      <c r="F123" s="192" t="s">
        <v>242</v>
      </c>
      <c r="G123" s="187" t="s">
        <v>74</v>
      </c>
      <c r="H123" s="533">
        <v>0</v>
      </c>
      <c r="I123" s="187">
        <v>80</v>
      </c>
      <c r="J123" s="637">
        <v>80</v>
      </c>
      <c r="K123" s="521">
        <v>0</v>
      </c>
      <c r="L123" s="637">
        <v>80</v>
      </c>
      <c r="M123" s="643">
        <v>100</v>
      </c>
      <c r="N123" s="598" t="s">
        <v>1528</v>
      </c>
      <c r="O123" s="617"/>
      <c r="P123" s="557"/>
      <c r="Q123" s="187">
        <v>80</v>
      </c>
      <c r="R123" s="187">
        <v>80</v>
      </c>
      <c r="S123" s="187">
        <v>80</v>
      </c>
      <c r="T123" s="187">
        <v>80</v>
      </c>
      <c r="U123" s="187">
        <v>80</v>
      </c>
      <c r="V123" s="187">
        <v>80</v>
      </c>
      <c r="W123" s="187">
        <v>80</v>
      </c>
      <c r="X123" s="187">
        <v>80</v>
      </c>
      <c r="Y123" s="187">
        <v>80</v>
      </c>
      <c r="Z123" s="187">
        <v>80</v>
      </c>
      <c r="AA123" s="165"/>
      <c r="AB123" s="164"/>
      <c r="AC123" s="164"/>
      <c r="AD123" s="164"/>
      <c r="AE123" s="164"/>
      <c r="AF123" s="165"/>
      <c r="AG123" s="70"/>
      <c r="AH123" s="70"/>
      <c r="AI123" s="70"/>
      <c r="AJ123" s="70"/>
      <c r="AK123" s="165"/>
      <c r="AL123" s="70"/>
      <c r="AM123" s="70"/>
      <c r="AN123" s="70"/>
      <c r="AO123" s="70"/>
      <c r="AP123" s="165"/>
      <c r="AQ123" s="70"/>
      <c r="AR123" s="70"/>
      <c r="AS123" s="70"/>
      <c r="AT123" s="70"/>
      <c r="AU123" s="165"/>
      <c r="AV123" s="70"/>
      <c r="AW123" s="70"/>
      <c r="AX123" s="70"/>
      <c r="AY123" s="70"/>
      <c r="AZ123" s="165"/>
      <c r="BA123" s="70"/>
      <c r="BB123" s="70"/>
      <c r="BC123" s="70"/>
      <c r="BD123" s="70"/>
      <c r="BE123" s="165"/>
      <c r="BF123" s="70"/>
      <c r="BG123" s="70"/>
      <c r="BH123" s="70"/>
      <c r="BI123" s="70"/>
      <c r="BJ123" s="165"/>
      <c r="BK123" s="70"/>
      <c r="BL123" s="70"/>
      <c r="BM123" s="70"/>
      <c r="BN123" s="70"/>
      <c r="BO123" s="165"/>
      <c r="BP123" s="70"/>
      <c r="BQ123" s="70"/>
      <c r="BR123" s="70"/>
      <c r="BS123" s="70"/>
      <c r="BT123" s="165"/>
      <c r="BU123" s="70"/>
      <c r="BV123" s="70"/>
      <c r="BW123" s="70"/>
      <c r="BX123" s="70"/>
      <c r="BY123" s="165"/>
      <c r="BZ123" s="70"/>
      <c r="CA123" s="70"/>
      <c r="CB123" s="70"/>
      <c r="CC123" s="70"/>
      <c r="CD123" s="165"/>
      <c r="CE123" s="70"/>
      <c r="CF123" s="70"/>
      <c r="CG123" s="70"/>
      <c r="CH123" s="70"/>
      <c r="CI123" s="181">
        <f t="shared" ref="CI123" si="331">AA123+AF123+AK123</f>
        <v>0</v>
      </c>
      <c r="CJ123" s="180">
        <f t="shared" ref="CJ123" si="332">AB123+AG123+AL123</f>
        <v>0</v>
      </c>
      <c r="CK123" s="180">
        <f t="shared" ref="CK123" si="333">AC123+AH123+AM123</f>
        <v>0</v>
      </c>
      <c r="CL123" s="180">
        <f t="shared" ref="CL123" si="334">AD123+AI123+AN123</f>
        <v>0</v>
      </c>
      <c r="CM123" s="180">
        <f t="shared" ref="CM123" si="335">AE123+AJ123+AO123</f>
        <v>0</v>
      </c>
      <c r="CN123" s="181">
        <f t="shared" ref="CN123:CR125" si="336">AA123+AF123+AK123+AP123+AU123+AZ123+BE123+BJ123+BO123+BT123+BY123+CD123</f>
        <v>0</v>
      </c>
      <c r="CO123" s="180">
        <f t="shared" si="336"/>
        <v>0</v>
      </c>
      <c r="CP123" s="180">
        <f t="shared" si="336"/>
        <v>0</v>
      </c>
      <c r="CQ123" s="180">
        <f t="shared" si="336"/>
        <v>0</v>
      </c>
      <c r="CR123" s="180">
        <f t="shared" si="336"/>
        <v>0</v>
      </c>
      <c r="CS123" s="275">
        <f>CN123-CO123-CP123-CQ123-CR123</f>
        <v>0</v>
      </c>
      <c r="CT123" s="14"/>
    </row>
    <row r="124" spans="1:98" s="4" customFormat="1" ht="190.5" customHeight="1" x14ac:dyDescent="0.3">
      <c r="A124" s="171" t="s">
        <v>243</v>
      </c>
      <c r="B124" s="167" t="s">
        <v>1072</v>
      </c>
      <c r="C124" s="167" t="s">
        <v>1291</v>
      </c>
      <c r="D124" s="187" t="s">
        <v>1067</v>
      </c>
      <c r="E124" s="187" t="s">
        <v>91</v>
      </c>
      <c r="F124" s="192" t="s">
        <v>226</v>
      </c>
      <c r="G124" s="187" t="s">
        <v>62</v>
      </c>
      <c r="H124" s="118">
        <v>0</v>
      </c>
      <c r="I124" s="44">
        <v>0</v>
      </c>
      <c r="J124" s="118">
        <v>0.42</v>
      </c>
      <c r="K124" s="118">
        <v>0.51</v>
      </c>
      <c r="L124" s="118">
        <v>0.42</v>
      </c>
      <c r="M124" s="656">
        <v>0.42</v>
      </c>
      <c r="N124" s="598"/>
      <c r="O124" s="617"/>
      <c r="P124" s="557"/>
      <c r="Q124" s="118">
        <v>0.42</v>
      </c>
      <c r="R124" s="118">
        <v>0.45</v>
      </c>
      <c r="S124" s="118">
        <v>0.45</v>
      </c>
      <c r="T124" s="118">
        <v>0.45</v>
      </c>
      <c r="U124" s="118">
        <v>0.47</v>
      </c>
      <c r="V124" s="118">
        <v>0.47</v>
      </c>
      <c r="W124" s="118">
        <v>0.47</v>
      </c>
      <c r="X124" s="118">
        <v>0.5</v>
      </c>
      <c r="Y124" s="118">
        <v>0.5</v>
      </c>
      <c r="Z124" s="118">
        <v>0.5</v>
      </c>
      <c r="AA124" s="165"/>
      <c r="AB124" s="164"/>
      <c r="AC124" s="164"/>
      <c r="AD124" s="164"/>
      <c r="AE124" s="164"/>
      <c r="AF124" s="165">
        <f>SUM(AG124:AJ124)</f>
        <v>70</v>
      </c>
      <c r="AG124" s="70">
        <v>50</v>
      </c>
      <c r="AH124" s="70">
        <v>20</v>
      </c>
      <c r="AI124" s="70"/>
      <c r="AJ124" s="70"/>
      <c r="AK124" s="165">
        <f>SUM(AL124:AO124)</f>
        <v>70</v>
      </c>
      <c r="AL124" s="70">
        <v>50</v>
      </c>
      <c r="AM124" s="70">
        <v>20</v>
      </c>
      <c r="AN124" s="70"/>
      <c r="AO124" s="70"/>
      <c r="AP124" s="165">
        <v>70</v>
      </c>
      <c r="AQ124" s="70"/>
      <c r="AR124" s="70"/>
      <c r="AS124" s="70"/>
      <c r="AT124" s="70"/>
      <c r="AU124" s="165">
        <v>70</v>
      </c>
      <c r="AV124" s="70"/>
      <c r="AW124" s="70"/>
      <c r="AX124" s="70"/>
      <c r="AY124" s="70"/>
      <c r="AZ124" s="165">
        <v>70</v>
      </c>
      <c r="BA124" s="70"/>
      <c r="BB124" s="70"/>
      <c r="BC124" s="70"/>
      <c r="BD124" s="70"/>
      <c r="BE124" s="165">
        <v>70</v>
      </c>
      <c r="BF124" s="70"/>
      <c r="BG124" s="70"/>
      <c r="BH124" s="70"/>
      <c r="BI124" s="70"/>
      <c r="BJ124" s="165">
        <v>70</v>
      </c>
      <c r="BK124" s="70"/>
      <c r="BL124" s="70"/>
      <c r="BM124" s="70"/>
      <c r="BN124" s="70"/>
      <c r="BO124" s="165">
        <v>70</v>
      </c>
      <c r="BP124" s="70"/>
      <c r="BQ124" s="70"/>
      <c r="BR124" s="70"/>
      <c r="BS124" s="70"/>
      <c r="BT124" s="165">
        <v>70</v>
      </c>
      <c r="BU124" s="70"/>
      <c r="BV124" s="70"/>
      <c r="BW124" s="70"/>
      <c r="BX124" s="70"/>
      <c r="BY124" s="165">
        <v>70</v>
      </c>
      <c r="BZ124" s="70"/>
      <c r="CA124" s="70"/>
      <c r="CB124" s="70"/>
      <c r="CC124" s="70"/>
      <c r="CD124" s="165">
        <v>70</v>
      </c>
      <c r="CE124" s="70"/>
      <c r="CF124" s="70"/>
      <c r="CG124" s="70"/>
      <c r="CH124" s="70"/>
      <c r="CI124" s="181">
        <f t="shared" ref="CI124:CM125" si="337">AA124+AF124+AK124</f>
        <v>140</v>
      </c>
      <c r="CJ124" s="180">
        <f t="shared" si="337"/>
        <v>100</v>
      </c>
      <c r="CK124" s="180">
        <f t="shared" si="337"/>
        <v>40</v>
      </c>
      <c r="CL124" s="180">
        <f t="shared" si="337"/>
        <v>0</v>
      </c>
      <c r="CM124" s="180">
        <f t="shared" si="337"/>
        <v>0</v>
      </c>
      <c r="CN124" s="181">
        <f t="shared" si="336"/>
        <v>770</v>
      </c>
      <c r="CO124" s="180">
        <f t="shared" si="336"/>
        <v>100</v>
      </c>
      <c r="CP124" s="180">
        <f t="shared" si="336"/>
        <v>40</v>
      </c>
      <c r="CQ124" s="180">
        <f t="shared" si="336"/>
        <v>0</v>
      </c>
      <c r="CR124" s="180">
        <f t="shared" si="336"/>
        <v>0</v>
      </c>
      <c r="CS124" s="275">
        <f t="shared" ref="CS124:CS125" si="338">CN124-CO124-CP124-CQ124-CR124</f>
        <v>630</v>
      </c>
      <c r="CT124" s="14"/>
    </row>
    <row r="125" spans="1:98" s="4" customFormat="1" ht="144" x14ac:dyDescent="0.3">
      <c r="A125" s="171" t="s">
        <v>244</v>
      </c>
      <c r="B125" s="169" t="s">
        <v>932</v>
      </c>
      <c r="C125" s="169" t="s">
        <v>1292</v>
      </c>
      <c r="D125" s="187" t="s">
        <v>190</v>
      </c>
      <c r="E125" s="187" t="s">
        <v>52</v>
      </c>
      <c r="F125" s="192" t="s">
        <v>192</v>
      </c>
      <c r="G125" s="187" t="s">
        <v>31</v>
      </c>
      <c r="H125" s="533">
        <v>552</v>
      </c>
      <c r="I125" s="44">
        <v>550</v>
      </c>
      <c r="J125" s="44">
        <v>550</v>
      </c>
      <c r="K125" s="44">
        <v>352</v>
      </c>
      <c r="L125" s="44">
        <v>550</v>
      </c>
      <c r="M125" s="655">
        <v>562</v>
      </c>
      <c r="N125" s="598" t="s">
        <v>1529</v>
      </c>
      <c r="O125" s="617" t="s">
        <v>1747</v>
      </c>
      <c r="P125" s="557"/>
      <c r="Q125" s="44">
        <v>550</v>
      </c>
      <c r="R125" s="44">
        <v>550</v>
      </c>
      <c r="S125" s="44">
        <v>550</v>
      </c>
      <c r="T125" s="44">
        <v>550</v>
      </c>
      <c r="U125" s="44">
        <v>550</v>
      </c>
      <c r="V125" s="44">
        <v>550</v>
      </c>
      <c r="W125" s="44">
        <v>550</v>
      </c>
      <c r="X125" s="44">
        <v>550</v>
      </c>
      <c r="Y125" s="44">
        <v>550</v>
      </c>
      <c r="Z125" s="44">
        <v>550</v>
      </c>
      <c r="AA125" s="165">
        <f>SUM(AB125:AE125)</f>
        <v>5967</v>
      </c>
      <c r="AB125" s="180">
        <v>5967</v>
      </c>
      <c r="AC125" s="164"/>
      <c r="AD125" s="164"/>
      <c r="AE125" s="164"/>
      <c r="AF125" s="165">
        <f>SUM(AG125:AJ125)</f>
        <v>5830.4</v>
      </c>
      <c r="AG125" s="70">
        <v>5830.4</v>
      </c>
      <c r="AH125" s="70"/>
      <c r="AI125" s="70"/>
      <c r="AJ125" s="70"/>
      <c r="AK125" s="165">
        <f>SUM(AL125:AO125)</f>
        <v>5830.4</v>
      </c>
      <c r="AL125" s="70">
        <v>5830.4</v>
      </c>
      <c r="AM125" s="70"/>
      <c r="AN125" s="70"/>
      <c r="AO125" s="70"/>
      <c r="AP125" s="165">
        <f>SUM(AQ125:AT125)</f>
        <v>5830.4</v>
      </c>
      <c r="AQ125" s="70">
        <v>5830.4</v>
      </c>
      <c r="AR125" s="70"/>
      <c r="AS125" s="70"/>
      <c r="AT125" s="70"/>
      <c r="AU125" s="165">
        <f>SUM(AV125:AY125)</f>
        <v>5830.4</v>
      </c>
      <c r="AV125" s="70">
        <v>5830.4</v>
      </c>
      <c r="AW125" s="70"/>
      <c r="AX125" s="70"/>
      <c r="AY125" s="70"/>
      <c r="AZ125" s="165">
        <f>SUM(BA125:BD125)</f>
        <v>5830.4</v>
      </c>
      <c r="BA125" s="70">
        <v>5830.4</v>
      </c>
      <c r="BB125" s="70"/>
      <c r="BC125" s="70"/>
      <c r="BD125" s="70"/>
      <c r="BE125" s="165">
        <f>SUM(BF125:BI125)</f>
        <v>5830.4</v>
      </c>
      <c r="BF125" s="70">
        <v>5830.4</v>
      </c>
      <c r="BG125" s="70"/>
      <c r="BH125" s="70"/>
      <c r="BI125" s="70"/>
      <c r="BJ125" s="165">
        <f>SUM(BK125:BN125)</f>
        <v>5830.4</v>
      </c>
      <c r="BK125" s="70">
        <v>5830.4</v>
      </c>
      <c r="BL125" s="70"/>
      <c r="BM125" s="70"/>
      <c r="BN125" s="70"/>
      <c r="BO125" s="165">
        <f>SUM(BP125:BS125)</f>
        <v>5830.4</v>
      </c>
      <c r="BP125" s="70">
        <v>5830.4</v>
      </c>
      <c r="BQ125" s="70"/>
      <c r="BR125" s="70"/>
      <c r="BS125" s="70"/>
      <c r="BT125" s="165">
        <f>SUM(BU125:BX125)</f>
        <v>5830.4</v>
      </c>
      <c r="BU125" s="70">
        <v>5830.4</v>
      </c>
      <c r="BV125" s="70"/>
      <c r="BW125" s="70"/>
      <c r="BX125" s="70"/>
      <c r="BY125" s="165">
        <f>SUM(BZ125:CC125)</f>
        <v>5830.4</v>
      </c>
      <c r="BZ125" s="70">
        <v>5830.4</v>
      </c>
      <c r="CA125" s="70"/>
      <c r="CB125" s="70"/>
      <c r="CC125" s="70"/>
      <c r="CD125" s="165">
        <f>SUM(CE125:CH125)</f>
        <v>5830.4</v>
      </c>
      <c r="CE125" s="70">
        <v>5830.4</v>
      </c>
      <c r="CF125" s="70"/>
      <c r="CG125" s="70"/>
      <c r="CH125" s="70"/>
      <c r="CI125" s="181">
        <f t="shared" si="337"/>
        <v>17627.8</v>
      </c>
      <c r="CJ125" s="180">
        <f t="shared" si="337"/>
        <v>17627.8</v>
      </c>
      <c r="CK125" s="180">
        <f t="shared" si="337"/>
        <v>0</v>
      </c>
      <c r="CL125" s="180">
        <f t="shared" si="337"/>
        <v>0</v>
      </c>
      <c r="CM125" s="180">
        <f t="shared" si="337"/>
        <v>0</v>
      </c>
      <c r="CN125" s="181">
        <f t="shared" si="336"/>
        <v>70101.400000000009</v>
      </c>
      <c r="CO125" s="180">
        <f t="shared" si="336"/>
        <v>70101.400000000009</v>
      </c>
      <c r="CP125" s="180">
        <f t="shared" si="336"/>
        <v>0</v>
      </c>
      <c r="CQ125" s="180">
        <f t="shared" si="336"/>
        <v>0</v>
      </c>
      <c r="CR125" s="180">
        <f t="shared" si="336"/>
        <v>0</v>
      </c>
      <c r="CS125" s="275">
        <f t="shared" si="338"/>
        <v>0</v>
      </c>
      <c r="CT125" s="14"/>
    </row>
    <row r="126" spans="1:98" x14ac:dyDescent="0.3">
      <c r="A126" s="363" t="s">
        <v>245</v>
      </c>
      <c r="B126" s="824" t="s">
        <v>246</v>
      </c>
      <c r="C126" s="824"/>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4"/>
      <c r="AA126" s="824"/>
      <c r="AB126" s="824"/>
      <c r="AC126" s="824"/>
      <c r="AD126" s="824"/>
      <c r="AE126" s="824"/>
      <c r="AF126" s="824"/>
      <c r="AG126" s="824"/>
      <c r="AH126" s="824"/>
      <c r="AI126" s="824"/>
      <c r="AJ126" s="824"/>
      <c r="AK126" s="824"/>
      <c r="AL126" s="824"/>
      <c r="AM126" s="824"/>
      <c r="AN126" s="824"/>
      <c r="AO126" s="824"/>
      <c r="AP126" s="824"/>
      <c r="AQ126" s="824"/>
      <c r="AR126" s="824"/>
      <c r="AS126" s="824"/>
      <c r="AT126" s="824"/>
      <c r="AU126" s="824"/>
      <c r="AV126" s="824"/>
      <c r="AW126" s="824"/>
      <c r="AX126" s="824"/>
      <c r="AY126" s="824"/>
      <c r="AZ126" s="824"/>
      <c r="BA126" s="824"/>
      <c r="BB126" s="824"/>
      <c r="BC126" s="824"/>
      <c r="BD126" s="824"/>
      <c r="BE126" s="824"/>
      <c r="BF126" s="824"/>
      <c r="BG126" s="824"/>
      <c r="BH126" s="824"/>
      <c r="BI126" s="824"/>
      <c r="BJ126" s="824"/>
      <c r="BK126" s="824"/>
      <c r="BL126" s="824"/>
      <c r="BM126" s="824"/>
      <c r="BN126" s="824"/>
      <c r="BO126" s="824"/>
      <c r="BP126" s="824"/>
      <c r="BQ126" s="824"/>
      <c r="BR126" s="824"/>
      <c r="BS126" s="824"/>
      <c r="BT126" s="824"/>
      <c r="BU126" s="824"/>
      <c r="BV126" s="824"/>
      <c r="BW126" s="824"/>
      <c r="BX126" s="824"/>
      <c r="BY126" s="824"/>
      <c r="BZ126" s="824"/>
      <c r="CA126" s="824"/>
      <c r="CB126" s="824"/>
      <c r="CC126" s="824"/>
      <c r="CD126" s="824"/>
      <c r="CE126" s="824"/>
      <c r="CF126" s="824"/>
      <c r="CG126" s="824"/>
      <c r="CH126" s="824"/>
      <c r="CI126" s="824"/>
      <c r="CJ126" s="824"/>
      <c r="CK126" s="824"/>
      <c r="CL126" s="824"/>
      <c r="CM126" s="824"/>
      <c r="CN126" s="56">
        <f>CN127+CN130+CN133</f>
        <v>78958.599999999991</v>
      </c>
      <c r="CO126" s="56">
        <f t="shared" ref="CO126:CS126" si="339">CO127+CO130+CO133</f>
        <v>10608.6</v>
      </c>
      <c r="CP126" s="56">
        <f t="shared" si="339"/>
        <v>0</v>
      </c>
      <c r="CQ126" s="56">
        <f t="shared" si="339"/>
        <v>0</v>
      </c>
      <c r="CR126" s="56">
        <f t="shared" si="339"/>
        <v>0</v>
      </c>
      <c r="CS126" s="273">
        <f t="shared" si="339"/>
        <v>68350</v>
      </c>
    </row>
    <row r="127" spans="1:98" x14ac:dyDescent="0.3">
      <c r="A127" s="362" t="s">
        <v>247</v>
      </c>
      <c r="B127" s="813" t="s">
        <v>248</v>
      </c>
      <c r="C127" s="813"/>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3"/>
      <c r="AA127" s="813"/>
      <c r="AB127" s="813"/>
      <c r="AC127" s="813"/>
      <c r="AD127" s="813"/>
      <c r="AE127" s="813"/>
      <c r="AF127" s="813"/>
      <c r="AG127" s="813"/>
      <c r="AH127" s="813"/>
      <c r="AI127" s="813"/>
      <c r="AJ127" s="813"/>
      <c r="AK127" s="813"/>
      <c r="AL127" s="813"/>
      <c r="AM127" s="813"/>
      <c r="AN127" s="813"/>
      <c r="AO127" s="813"/>
      <c r="AP127" s="813"/>
      <c r="AQ127" s="813"/>
      <c r="AR127" s="813"/>
      <c r="AS127" s="813"/>
      <c r="AT127" s="813"/>
      <c r="AU127" s="813"/>
      <c r="AV127" s="813"/>
      <c r="AW127" s="813"/>
      <c r="AX127" s="813"/>
      <c r="AY127" s="813"/>
      <c r="AZ127" s="813"/>
      <c r="BA127" s="813"/>
      <c r="BB127" s="813"/>
      <c r="BC127" s="813"/>
      <c r="BD127" s="813"/>
      <c r="BE127" s="813"/>
      <c r="BF127" s="813"/>
      <c r="BG127" s="813"/>
      <c r="BH127" s="813"/>
      <c r="BI127" s="813"/>
      <c r="BJ127" s="813"/>
      <c r="BK127" s="813"/>
      <c r="BL127" s="813"/>
      <c r="BM127" s="813"/>
      <c r="BN127" s="813"/>
      <c r="BO127" s="813"/>
      <c r="BP127" s="813"/>
      <c r="BQ127" s="813"/>
      <c r="BR127" s="813"/>
      <c r="BS127" s="813"/>
      <c r="BT127" s="813"/>
      <c r="BU127" s="813"/>
      <c r="BV127" s="813"/>
      <c r="BW127" s="813"/>
      <c r="BX127" s="813"/>
      <c r="BY127" s="813"/>
      <c r="BZ127" s="813"/>
      <c r="CA127" s="813"/>
      <c r="CB127" s="813"/>
      <c r="CC127" s="813"/>
      <c r="CD127" s="813"/>
      <c r="CE127" s="813"/>
      <c r="CF127" s="813"/>
      <c r="CG127" s="813"/>
      <c r="CH127" s="813"/>
      <c r="CI127" s="813"/>
      <c r="CJ127" s="813"/>
      <c r="CK127" s="813"/>
      <c r="CL127" s="813"/>
      <c r="CM127" s="813"/>
      <c r="CN127" s="277">
        <f>CN128+CN129</f>
        <v>7200</v>
      </c>
      <c r="CO127" s="277">
        <f t="shared" ref="CO127:CS127" si="340">CO128+CO129</f>
        <v>600</v>
      </c>
      <c r="CP127" s="277">
        <f t="shared" si="340"/>
        <v>0</v>
      </c>
      <c r="CQ127" s="277">
        <f t="shared" si="340"/>
        <v>0</v>
      </c>
      <c r="CR127" s="277">
        <f t="shared" si="340"/>
        <v>0</v>
      </c>
      <c r="CS127" s="273">
        <f t="shared" si="340"/>
        <v>6600</v>
      </c>
    </row>
    <row r="128" spans="1:98" s="4" customFormat="1" ht="216" x14ac:dyDescent="0.35">
      <c r="A128" s="877" t="s">
        <v>249</v>
      </c>
      <c r="B128" s="843" t="s">
        <v>250</v>
      </c>
      <c r="C128" s="182" t="s">
        <v>1293</v>
      </c>
      <c r="D128" s="714" t="s">
        <v>812</v>
      </c>
      <c r="E128" s="193" t="s">
        <v>52</v>
      </c>
      <c r="F128" s="74" t="s">
        <v>251</v>
      </c>
      <c r="G128" s="193" t="s">
        <v>31</v>
      </c>
      <c r="H128" s="527">
        <v>56</v>
      </c>
      <c r="I128" s="193">
        <v>64</v>
      </c>
      <c r="J128" s="634">
        <v>69</v>
      </c>
      <c r="K128" s="288">
        <v>101</v>
      </c>
      <c r="L128" s="634">
        <v>72</v>
      </c>
      <c r="M128" s="643">
        <v>114</v>
      </c>
      <c r="N128" s="597"/>
      <c r="O128" s="625"/>
      <c r="P128" s="444"/>
      <c r="Q128" s="193">
        <v>72</v>
      </c>
      <c r="R128" s="193">
        <v>72</v>
      </c>
      <c r="S128" s="193">
        <v>72</v>
      </c>
      <c r="T128" s="193">
        <v>72</v>
      </c>
      <c r="U128" s="193">
        <v>77</v>
      </c>
      <c r="V128" s="193">
        <v>77</v>
      </c>
      <c r="W128" s="193">
        <v>77</v>
      </c>
      <c r="X128" s="193">
        <v>77</v>
      </c>
      <c r="Y128" s="193">
        <v>77</v>
      </c>
      <c r="Z128" s="193">
        <v>80</v>
      </c>
      <c r="AA128" s="181">
        <f>SUM(AB128:AE128)</f>
        <v>0</v>
      </c>
      <c r="AB128" s="164"/>
      <c r="AC128" s="164"/>
      <c r="AD128" s="164"/>
      <c r="AE128" s="164"/>
      <c r="AF128" s="181">
        <f>SUM(AG128:AJ128)</f>
        <v>0</v>
      </c>
      <c r="AG128" s="164"/>
      <c r="AH128" s="164"/>
      <c r="AI128" s="164"/>
      <c r="AJ128" s="164"/>
      <c r="AK128" s="181">
        <f>SUM(AL128:AO128)</f>
        <v>0</v>
      </c>
      <c r="AL128" s="164"/>
      <c r="AM128" s="164"/>
      <c r="AN128" s="164"/>
      <c r="AO128" s="164"/>
      <c r="AP128" s="181">
        <f>SUM(AQ128:AT128)</f>
        <v>0</v>
      </c>
      <c r="AQ128" s="164"/>
      <c r="AR128" s="164"/>
      <c r="AS128" s="164"/>
      <c r="AT128" s="164"/>
      <c r="AU128" s="181">
        <f>SUM(AV128:AY128)</f>
        <v>0</v>
      </c>
      <c r="AV128" s="164"/>
      <c r="AW128" s="164"/>
      <c r="AX128" s="164"/>
      <c r="AY128" s="164"/>
      <c r="AZ128" s="181">
        <f>SUM(BA128:BD128)</f>
        <v>0</v>
      </c>
      <c r="BA128" s="164"/>
      <c r="BB128" s="164"/>
      <c r="BC128" s="164"/>
      <c r="BD128" s="164"/>
      <c r="BE128" s="181">
        <f>SUM(BF128:BI128)</f>
        <v>0</v>
      </c>
      <c r="BF128" s="164"/>
      <c r="BG128" s="164"/>
      <c r="BH128" s="164"/>
      <c r="BI128" s="164"/>
      <c r="BJ128" s="181">
        <f>SUM(BK128:BN128)</f>
        <v>0</v>
      </c>
      <c r="BK128" s="164"/>
      <c r="BL128" s="164"/>
      <c r="BM128" s="164"/>
      <c r="BN128" s="164"/>
      <c r="BO128" s="181">
        <f>SUM(BP128:BS128)</f>
        <v>0</v>
      </c>
      <c r="BP128" s="164"/>
      <c r="BQ128" s="164"/>
      <c r="BR128" s="164"/>
      <c r="BS128" s="164"/>
      <c r="BT128" s="181">
        <f>SUM(BU128:BX128)</f>
        <v>0</v>
      </c>
      <c r="BU128" s="164"/>
      <c r="BV128" s="164"/>
      <c r="BW128" s="164"/>
      <c r="BX128" s="164"/>
      <c r="BY128" s="181">
        <f>SUM(BZ128:CC128)</f>
        <v>0</v>
      </c>
      <c r="BZ128" s="164"/>
      <c r="CA128" s="164"/>
      <c r="CB128" s="164"/>
      <c r="CC128" s="164"/>
      <c r="CD128" s="181">
        <f>SUM(CE128:CH128)</f>
        <v>0</v>
      </c>
      <c r="CE128" s="164"/>
      <c r="CF128" s="164"/>
      <c r="CG128" s="164"/>
      <c r="CH128" s="164"/>
      <c r="CI128" s="181">
        <f t="shared" ref="CI128" si="341">AA128+AF128+AK128</f>
        <v>0</v>
      </c>
      <c r="CJ128" s="180">
        <f t="shared" ref="CJ128" si="342">AB128+AG128+AL128</f>
        <v>0</v>
      </c>
      <c r="CK128" s="180">
        <f t="shared" ref="CK128" si="343">AC128+AH128+AM128</f>
        <v>0</v>
      </c>
      <c r="CL128" s="180">
        <f t="shared" ref="CL128" si="344">AD128+AI128+AN128</f>
        <v>0</v>
      </c>
      <c r="CM128" s="180">
        <f t="shared" ref="CM128" si="345">AE128+AJ128+AO128</f>
        <v>0</v>
      </c>
      <c r="CN128" s="181">
        <f t="shared" ref="CN128:CR129" si="346">AA128+AF128+AK128+AP128+AU128+AZ128+BE128+BJ128+BO128+BT128+BY128+CD128</f>
        <v>0</v>
      </c>
      <c r="CO128" s="180">
        <f t="shared" si="346"/>
        <v>0</v>
      </c>
      <c r="CP128" s="180">
        <f t="shared" si="346"/>
        <v>0</v>
      </c>
      <c r="CQ128" s="180">
        <f t="shared" si="346"/>
        <v>0</v>
      </c>
      <c r="CR128" s="180">
        <f t="shared" si="346"/>
        <v>0</v>
      </c>
      <c r="CS128" s="273">
        <f>CN128-CO128-CP128-CQ128-CR128</f>
        <v>0</v>
      </c>
      <c r="CT128" s="14"/>
    </row>
    <row r="129" spans="1:98" s="4" customFormat="1" ht="240" x14ac:dyDescent="0.35">
      <c r="A129" s="877"/>
      <c r="B129" s="843"/>
      <c r="C129" s="182" t="s">
        <v>252</v>
      </c>
      <c r="D129" s="715"/>
      <c r="E129" s="193" t="s">
        <v>52</v>
      </c>
      <c r="F129" s="74" t="s">
        <v>253</v>
      </c>
      <c r="G129" s="193" t="s">
        <v>31</v>
      </c>
      <c r="H129" s="527">
        <v>2</v>
      </c>
      <c r="I129" s="193">
        <v>3</v>
      </c>
      <c r="J129" s="634">
        <v>3</v>
      </c>
      <c r="K129" s="288">
        <v>3</v>
      </c>
      <c r="L129" s="634">
        <v>3</v>
      </c>
      <c r="M129" s="657">
        <v>3</v>
      </c>
      <c r="N129" s="597"/>
      <c r="O129" s="625"/>
      <c r="P129" s="444"/>
      <c r="Q129" s="193">
        <v>3</v>
      </c>
      <c r="R129" s="193">
        <v>3</v>
      </c>
      <c r="S129" s="193">
        <v>3</v>
      </c>
      <c r="T129" s="193">
        <v>3</v>
      </c>
      <c r="U129" s="193">
        <v>3</v>
      </c>
      <c r="V129" s="193">
        <v>3</v>
      </c>
      <c r="W129" s="193">
        <v>3</v>
      </c>
      <c r="X129" s="193">
        <v>3</v>
      </c>
      <c r="Y129" s="193">
        <v>3</v>
      </c>
      <c r="Z129" s="193">
        <v>3</v>
      </c>
      <c r="AA129" s="181">
        <f>SUM(AB129:AE129)</f>
        <v>600</v>
      </c>
      <c r="AB129" s="164">
        <f>200*3</f>
        <v>600</v>
      </c>
      <c r="AC129" s="164"/>
      <c r="AD129" s="164"/>
      <c r="AE129" s="164"/>
      <c r="AF129" s="181">
        <f>200*3</f>
        <v>600</v>
      </c>
      <c r="AG129" s="164"/>
      <c r="AH129" s="164"/>
      <c r="AI129" s="164"/>
      <c r="AJ129" s="164"/>
      <c r="AK129" s="181">
        <f>200*3</f>
        <v>600</v>
      </c>
      <c r="AL129" s="164"/>
      <c r="AM129" s="164"/>
      <c r="AN129" s="164"/>
      <c r="AO129" s="164"/>
      <c r="AP129" s="181">
        <f>200*3</f>
        <v>600</v>
      </c>
      <c r="AQ129" s="164"/>
      <c r="AR129" s="164"/>
      <c r="AS129" s="164"/>
      <c r="AT129" s="164"/>
      <c r="AU129" s="181">
        <f>200*3</f>
        <v>600</v>
      </c>
      <c r="AV129" s="164"/>
      <c r="AW129" s="164"/>
      <c r="AX129" s="164"/>
      <c r="AY129" s="164"/>
      <c r="AZ129" s="181">
        <f>200*3</f>
        <v>600</v>
      </c>
      <c r="BA129" s="164"/>
      <c r="BB129" s="164"/>
      <c r="BC129" s="164"/>
      <c r="BD129" s="164"/>
      <c r="BE129" s="181">
        <f>200*3</f>
        <v>600</v>
      </c>
      <c r="BF129" s="164"/>
      <c r="BG129" s="164"/>
      <c r="BH129" s="164"/>
      <c r="BI129" s="164"/>
      <c r="BJ129" s="181">
        <f>200*3</f>
        <v>600</v>
      </c>
      <c r="BK129" s="164"/>
      <c r="BL129" s="164"/>
      <c r="BM129" s="164"/>
      <c r="BN129" s="164"/>
      <c r="BO129" s="181">
        <f>200*3</f>
        <v>600</v>
      </c>
      <c r="BP129" s="164"/>
      <c r="BQ129" s="164"/>
      <c r="BR129" s="164"/>
      <c r="BS129" s="164"/>
      <c r="BT129" s="181">
        <f>200*3</f>
        <v>600</v>
      </c>
      <c r="BU129" s="164"/>
      <c r="BV129" s="164"/>
      <c r="BW129" s="164"/>
      <c r="BX129" s="164"/>
      <c r="BY129" s="181">
        <f>200*3</f>
        <v>600</v>
      </c>
      <c r="BZ129" s="164"/>
      <c r="CA129" s="164"/>
      <c r="CB129" s="164"/>
      <c r="CC129" s="164"/>
      <c r="CD129" s="181">
        <f>200*3</f>
        <v>600</v>
      </c>
      <c r="CE129" s="164"/>
      <c r="CF129" s="164"/>
      <c r="CG129" s="164"/>
      <c r="CH129" s="164"/>
      <c r="CI129" s="181">
        <f t="shared" ref="CI129" si="347">AA129+AF129+AK129</f>
        <v>1800</v>
      </c>
      <c r="CJ129" s="180">
        <f t="shared" ref="CJ129" si="348">AB129+AG129+AL129</f>
        <v>600</v>
      </c>
      <c r="CK129" s="180">
        <f t="shared" ref="CK129" si="349">AC129+AH129+AM129</f>
        <v>0</v>
      </c>
      <c r="CL129" s="180">
        <f t="shared" ref="CL129" si="350">AD129+AI129+AN129</f>
        <v>0</v>
      </c>
      <c r="CM129" s="180">
        <f t="shared" ref="CM129" si="351">AE129+AJ129+AO129</f>
        <v>0</v>
      </c>
      <c r="CN129" s="181">
        <f t="shared" si="346"/>
        <v>7200</v>
      </c>
      <c r="CO129" s="180">
        <f t="shared" si="346"/>
        <v>600</v>
      </c>
      <c r="CP129" s="180">
        <f t="shared" si="346"/>
        <v>0</v>
      </c>
      <c r="CQ129" s="180">
        <f t="shared" si="346"/>
        <v>0</v>
      </c>
      <c r="CR129" s="180">
        <f t="shared" si="346"/>
        <v>0</v>
      </c>
      <c r="CS129" s="273">
        <f>CN129-CO129-CP129-CQ129-CR129</f>
        <v>6600</v>
      </c>
      <c r="CT129" s="14"/>
    </row>
    <row r="130" spans="1:98" x14ac:dyDescent="0.3">
      <c r="A130" s="362" t="s">
        <v>254</v>
      </c>
      <c r="B130" s="813" t="s">
        <v>255</v>
      </c>
      <c r="C130" s="813"/>
      <c r="D130" s="813"/>
      <c r="E130" s="813"/>
      <c r="F130" s="813"/>
      <c r="G130" s="813"/>
      <c r="H130" s="813"/>
      <c r="I130" s="813"/>
      <c r="J130" s="813"/>
      <c r="K130" s="813"/>
      <c r="L130" s="813"/>
      <c r="M130" s="813"/>
      <c r="N130" s="813"/>
      <c r="O130" s="813"/>
      <c r="P130" s="813"/>
      <c r="Q130" s="813"/>
      <c r="R130" s="813"/>
      <c r="S130" s="813"/>
      <c r="T130" s="813"/>
      <c r="U130" s="813"/>
      <c r="V130" s="813"/>
      <c r="W130" s="813"/>
      <c r="X130" s="813"/>
      <c r="Y130" s="813"/>
      <c r="Z130" s="813"/>
      <c r="AA130" s="813"/>
      <c r="AB130" s="813"/>
      <c r="AC130" s="813"/>
      <c r="AD130" s="813"/>
      <c r="AE130" s="813"/>
      <c r="AF130" s="813"/>
      <c r="AG130" s="813"/>
      <c r="AH130" s="813"/>
      <c r="AI130" s="813"/>
      <c r="AJ130" s="813"/>
      <c r="AK130" s="813"/>
      <c r="AL130" s="813"/>
      <c r="AM130" s="813"/>
      <c r="AN130" s="813"/>
      <c r="AO130" s="813"/>
      <c r="AP130" s="813"/>
      <c r="AQ130" s="813"/>
      <c r="AR130" s="813"/>
      <c r="AS130" s="813"/>
      <c r="AT130" s="813"/>
      <c r="AU130" s="813"/>
      <c r="AV130" s="813"/>
      <c r="AW130" s="813"/>
      <c r="AX130" s="813"/>
      <c r="AY130" s="813"/>
      <c r="AZ130" s="813"/>
      <c r="BA130" s="813"/>
      <c r="BB130" s="813"/>
      <c r="BC130" s="813"/>
      <c r="BD130" s="813"/>
      <c r="BE130" s="813"/>
      <c r="BF130" s="813"/>
      <c r="BG130" s="813"/>
      <c r="BH130" s="813"/>
      <c r="BI130" s="813"/>
      <c r="BJ130" s="813"/>
      <c r="BK130" s="813"/>
      <c r="BL130" s="813"/>
      <c r="BM130" s="813"/>
      <c r="BN130" s="813"/>
      <c r="BO130" s="813"/>
      <c r="BP130" s="813"/>
      <c r="BQ130" s="813"/>
      <c r="BR130" s="813"/>
      <c r="BS130" s="813"/>
      <c r="BT130" s="813"/>
      <c r="BU130" s="813"/>
      <c r="BV130" s="813"/>
      <c r="BW130" s="813"/>
      <c r="BX130" s="813"/>
      <c r="BY130" s="813"/>
      <c r="BZ130" s="813"/>
      <c r="CA130" s="813"/>
      <c r="CB130" s="813"/>
      <c r="CC130" s="813"/>
      <c r="CD130" s="813"/>
      <c r="CE130" s="813"/>
      <c r="CF130" s="813"/>
      <c r="CG130" s="813"/>
      <c r="CH130" s="813"/>
      <c r="CI130" s="813"/>
      <c r="CJ130" s="813"/>
      <c r="CK130" s="813"/>
      <c r="CL130" s="813"/>
      <c r="CM130" s="813"/>
      <c r="CN130" s="277">
        <f>CN131</f>
        <v>0</v>
      </c>
      <c r="CO130" s="277">
        <f t="shared" ref="CO130:CS130" si="352">CO131</f>
        <v>0</v>
      </c>
      <c r="CP130" s="277">
        <f t="shared" si="352"/>
        <v>0</v>
      </c>
      <c r="CQ130" s="277">
        <f t="shared" si="352"/>
        <v>0</v>
      </c>
      <c r="CR130" s="277">
        <f t="shared" si="352"/>
        <v>0</v>
      </c>
      <c r="CS130" s="273">
        <f t="shared" si="352"/>
        <v>0</v>
      </c>
    </row>
    <row r="131" spans="1:98" s="4" customFormat="1" ht="197.25" customHeight="1" x14ac:dyDescent="0.3">
      <c r="A131" s="877" t="s">
        <v>256</v>
      </c>
      <c r="B131" s="843" t="s">
        <v>257</v>
      </c>
      <c r="C131" s="866" t="s">
        <v>1294</v>
      </c>
      <c r="D131" s="759" t="s">
        <v>812</v>
      </c>
      <c r="E131" s="403" t="s">
        <v>258</v>
      </c>
      <c r="F131" s="414" t="s">
        <v>259</v>
      </c>
      <c r="G131" s="402" t="s">
        <v>260</v>
      </c>
      <c r="H131" s="527"/>
      <c r="I131" s="403"/>
      <c r="J131" s="634"/>
      <c r="K131" s="452"/>
      <c r="L131" s="634"/>
      <c r="M131" s="643"/>
      <c r="N131" s="598" t="s">
        <v>1530</v>
      </c>
      <c r="O131" s="617" t="s">
        <v>1530</v>
      </c>
      <c r="P131" s="557"/>
      <c r="Q131" s="403"/>
      <c r="R131" s="403"/>
      <c r="S131" s="403"/>
      <c r="T131" s="403"/>
      <c r="U131" s="403"/>
      <c r="V131" s="403"/>
      <c r="W131" s="403"/>
      <c r="X131" s="403"/>
      <c r="Y131" s="403"/>
      <c r="Z131" s="402">
        <v>1</v>
      </c>
      <c r="AA131" s="773">
        <f>SUM(AB131:AE131)</f>
        <v>0</v>
      </c>
      <c r="AB131" s="793"/>
      <c r="AC131" s="793"/>
      <c r="AD131" s="793"/>
      <c r="AE131" s="793"/>
      <c r="AF131" s="773">
        <f>SUM(AG131:AJ131)</f>
        <v>0</v>
      </c>
      <c r="AG131" s="793"/>
      <c r="AH131" s="793"/>
      <c r="AI131" s="793"/>
      <c r="AJ131" s="793"/>
      <c r="AK131" s="773">
        <f>SUM(AL131:AO131)</f>
        <v>0</v>
      </c>
      <c r="AL131" s="793"/>
      <c r="AM131" s="793"/>
      <c r="AN131" s="793"/>
      <c r="AO131" s="793"/>
      <c r="AP131" s="773">
        <f>SUM(AQ131:AT131)</f>
        <v>0</v>
      </c>
      <c r="AQ131" s="793"/>
      <c r="AR131" s="793"/>
      <c r="AS131" s="793"/>
      <c r="AT131" s="793"/>
      <c r="AU131" s="773">
        <f>SUM(AV131:AY131)</f>
        <v>0</v>
      </c>
      <c r="AV131" s="793"/>
      <c r="AW131" s="793"/>
      <c r="AX131" s="793"/>
      <c r="AY131" s="793"/>
      <c r="AZ131" s="773">
        <f>SUM(BA131:BD131)</f>
        <v>0</v>
      </c>
      <c r="BA131" s="793"/>
      <c r="BB131" s="793"/>
      <c r="BC131" s="793"/>
      <c r="BD131" s="793"/>
      <c r="BE131" s="773">
        <f>SUM(BF131:BI131)</f>
        <v>0</v>
      </c>
      <c r="BF131" s="793"/>
      <c r="BG131" s="793"/>
      <c r="BH131" s="793"/>
      <c r="BI131" s="793"/>
      <c r="BJ131" s="773">
        <f>SUM(BK131:BN131)</f>
        <v>0</v>
      </c>
      <c r="BK131" s="793"/>
      <c r="BL131" s="793"/>
      <c r="BM131" s="793"/>
      <c r="BN131" s="773"/>
      <c r="BO131" s="773">
        <f>SUM(BP131:BS131)</f>
        <v>0</v>
      </c>
      <c r="BP131" s="793"/>
      <c r="BQ131" s="793"/>
      <c r="BR131" s="793"/>
      <c r="BS131" s="793"/>
      <c r="BT131" s="773">
        <f>SUM(BU131:BX131)</f>
        <v>0</v>
      </c>
      <c r="BU131" s="793"/>
      <c r="BV131" s="793"/>
      <c r="BW131" s="793"/>
      <c r="BX131" s="793"/>
      <c r="BY131" s="773">
        <f>SUM(BZ131:CC131)</f>
        <v>0</v>
      </c>
      <c r="BZ131" s="793"/>
      <c r="CA131" s="793"/>
      <c r="CB131" s="793"/>
      <c r="CC131" s="793"/>
      <c r="CD131" s="773">
        <f>SUM(CE131:CH131)</f>
        <v>0</v>
      </c>
      <c r="CE131" s="793"/>
      <c r="CF131" s="793"/>
      <c r="CG131" s="793"/>
      <c r="CH131" s="793"/>
      <c r="CI131" s="773">
        <f t="shared" ref="CI131" si="353">AA131+AF131+AK131</f>
        <v>0</v>
      </c>
      <c r="CJ131" s="791">
        <f t="shared" ref="CJ131" si="354">AB131+AG131+AL131</f>
        <v>0</v>
      </c>
      <c r="CK131" s="791">
        <f t="shared" ref="CK131" si="355">AC131+AH131+AM131</f>
        <v>0</v>
      </c>
      <c r="CL131" s="791">
        <f t="shared" ref="CL131" si="356">AD131+AI131+AN131</f>
        <v>0</v>
      </c>
      <c r="CM131" s="791">
        <f t="shared" ref="CM131" si="357">AE131+AJ131+AO131</f>
        <v>0</v>
      </c>
      <c r="CN131" s="773">
        <f>AA131+AF131+AK131+AP131+AU131+AZ131+BE131+BJ131+BO131+BT131+BY131+CD131</f>
        <v>0</v>
      </c>
      <c r="CO131" s="791">
        <f>AB131+AG131+AL131+AQ131+AV131+BA131+BF131+BK131+BP131+BU131+BZ131+CE131</f>
        <v>0</v>
      </c>
      <c r="CP131" s="791">
        <f>AC131+AH131+AM131+AR131+AW131+BB131+BG131+BL131+BQ131+BV131+CA131+CF131</f>
        <v>0</v>
      </c>
      <c r="CQ131" s="791">
        <f>AD131+AI131+AN131+AS131+AX131+BC131+BH131+BM131+BR131+BW131+CB131+CG131</f>
        <v>0</v>
      </c>
      <c r="CR131" s="791">
        <f>AE131+AJ131+AO131+AT131+AY131+BD131+BI131+BN131+BS131+BX131+CC131+CH131</f>
        <v>0</v>
      </c>
      <c r="CS131" s="773">
        <f>CN131-CO131-CP131-CQ131-CR131</f>
        <v>0</v>
      </c>
      <c r="CT131" s="14"/>
    </row>
    <row r="132" spans="1:98" s="4" customFormat="1" ht="220.5" customHeight="1" x14ac:dyDescent="0.35">
      <c r="A132" s="877"/>
      <c r="B132" s="843"/>
      <c r="C132" s="866"/>
      <c r="D132" s="759"/>
      <c r="E132" s="403" t="s">
        <v>52</v>
      </c>
      <c r="F132" s="421" t="s">
        <v>261</v>
      </c>
      <c r="G132" s="69" t="s">
        <v>31</v>
      </c>
      <c r="H132" s="527">
        <v>9</v>
      </c>
      <c r="I132" s="403">
        <v>10</v>
      </c>
      <c r="J132" s="634">
        <v>10</v>
      </c>
      <c r="K132" s="403">
        <v>14</v>
      </c>
      <c r="L132" s="634">
        <v>10</v>
      </c>
      <c r="M132" s="657">
        <v>16</v>
      </c>
      <c r="N132" s="597"/>
      <c r="O132" s="625"/>
      <c r="P132" s="553"/>
      <c r="Q132" s="411">
        <v>10</v>
      </c>
      <c r="R132" s="411">
        <v>10</v>
      </c>
      <c r="S132" s="411">
        <v>10</v>
      </c>
      <c r="T132" s="411">
        <v>10</v>
      </c>
      <c r="U132" s="411">
        <v>11</v>
      </c>
      <c r="V132" s="411">
        <v>11</v>
      </c>
      <c r="W132" s="411">
        <v>11</v>
      </c>
      <c r="X132" s="411">
        <v>11</v>
      </c>
      <c r="Y132" s="411">
        <v>11</v>
      </c>
      <c r="Z132" s="411">
        <v>12</v>
      </c>
      <c r="AA132" s="774"/>
      <c r="AB132" s="794"/>
      <c r="AC132" s="794"/>
      <c r="AD132" s="794"/>
      <c r="AE132" s="794"/>
      <c r="AF132" s="774"/>
      <c r="AG132" s="794"/>
      <c r="AH132" s="794"/>
      <c r="AI132" s="794"/>
      <c r="AJ132" s="794"/>
      <c r="AK132" s="774"/>
      <c r="AL132" s="794"/>
      <c r="AM132" s="794"/>
      <c r="AN132" s="794"/>
      <c r="AO132" s="794"/>
      <c r="AP132" s="774"/>
      <c r="AQ132" s="794"/>
      <c r="AR132" s="794"/>
      <c r="AS132" s="794"/>
      <c r="AT132" s="794"/>
      <c r="AU132" s="774"/>
      <c r="AV132" s="794"/>
      <c r="AW132" s="794"/>
      <c r="AX132" s="794"/>
      <c r="AY132" s="794"/>
      <c r="AZ132" s="774"/>
      <c r="BA132" s="794"/>
      <c r="BB132" s="794"/>
      <c r="BC132" s="794"/>
      <c r="BD132" s="794"/>
      <c r="BE132" s="774"/>
      <c r="BF132" s="794"/>
      <c r="BG132" s="794"/>
      <c r="BH132" s="794"/>
      <c r="BI132" s="794"/>
      <c r="BJ132" s="774"/>
      <c r="BK132" s="794"/>
      <c r="BL132" s="794"/>
      <c r="BM132" s="794"/>
      <c r="BN132" s="774"/>
      <c r="BO132" s="774"/>
      <c r="BP132" s="794"/>
      <c r="BQ132" s="794"/>
      <c r="BR132" s="794"/>
      <c r="BS132" s="794"/>
      <c r="BT132" s="774"/>
      <c r="BU132" s="794"/>
      <c r="BV132" s="794"/>
      <c r="BW132" s="794"/>
      <c r="BX132" s="794"/>
      <c r="BY132" s="774"/>
      <c r="BZ132" s="794"/>
      <c r="CA132" s="794"/>
      <c r="CB132" s="794"/>
      <c r="CC132" s="794"/>
      <c r="CD132" s="774"/>
      <c r="CE132" s="794"/>
      <c r="CF132" s="794"/>
      <c r="CG132" s="794"/>
      <c r="CH132" s="794"/>
      <c r="CI132" s="774"/>
      <c r="CJ132" s="792"/>
      <c r="CK132" s="792"/>
      <c r="CL132" s="792"/>
      <c r="CM132" s="792"/>
      <c r="CN132" s="774"/>
      <c r="CO132" s="792"/>
      <c r="CP132" s="792"/>
      <c r="CQ132" s="792"/>
      <c r="CR132" s="792"/>
      <c r="CS132" s="774"/>
      <c r="CT132" s="14"/>
    </row>
    <row r="133" spans="1:98" ht="25.5" customHeight="1" x14ac:dyDescent="0.3">
      <c r="A133" s="362" t="s">
        <v>262</v>
      </c>
      <c r="B133" s="813" t="s">
        <v>263</v>
      </c>
      <c r="C133" s="813"/>
      <c r="D133" s="813"/>
      <c r="E133" s="813"/>
      <c r="F133" s="813"/>
      <c r="G133" s="813"/>
      <c r="H133" s="813"/>
      <c r="I133" s="813"/>
      <c r="J133" s="813"/>
      <c r="K133" s="813"/>
      <c r="L133" s="813"/>
      <c r="M133" s="813"/>
      <c r="N133" s="813"/>
      <c r="O133" s="813"/>
      <c r="P133" s="813"/>
      <c r="Q133" s="813"/>
      <c r="R133" s="813"/>
      <c r="S133" s="813"/>
      <c r="T133" s="813"/>
      <c r="U133" s="813"/>
      <c r="V133" s="813"/>
      <c r="W133" s="813"/>
      <c r="X133" s="813"/>
      <c r="Y133" s="813"/>
      <c r="Z133" s="813"/>
      <c r="AA133" s="813"/>
      <c r="AB133" s="813"/>
      <c r="AC133" s="813"/>
      <c r="AD133" s="813"/>
      <c r="AE133" s="813"/>
      <c r="AF133" s="813"/>
      <c r="AG133" s="813"/>
      <c r="AH133" s="813"/>
      <c r="AI133" s="813"/>
      <c r="AJ133" s="813"/>
      <c r="AK133" s="813"/>
      <c r="AL133" s="813"/>
      <c r="AM133" s="813"/>
      <c r="AN133" s="813"/>
      <c r="AO133" s="813"/>
      <c r="AP133" s="813"/>
      <c r="AQ133" s="813"/>
      <c r="AR133" s="813"/>
      <c r="AS133" s="813"/>
      <c r="AT133" s="813"/>
      <c r="AU133" s="813"/>
      <c r="AV133" s="813"/>
      <c r="AW133" s="813"/>
      <c r="AX133" s="813"/>
      <c r="AY133" s="813"/>
      <c r="AZ133" s="813"/>
      <c r="BA133" s="813"/>
      <c r="BB133" s="813"/>
      <c r="BC133" s="813"/>
      <c r="BD133" s="813"/>
      <c r="BE133" s="813"/>
      <c r="BF133" s="813"/>
      <c r="BG133" s="813"/>
      <c r="BH133" s="813"/>
      <c r="BI133" s="813"/>
      <c r="BJ133" s="813"/>
      <c r="BK133" s="813"/>
      <c r="BL133" s="813"/>
      <c r="BM133" s="813"/>
      <c r="BN133" s="813"/>
      <c r="BO133" s="813"/>
      <c r="BP133" s="813"/>
      <c r="BQ133" s="813"/>
      <c r="BR133" s="813"/>
      <c r="BS133" s="813"/>
      <c r="BT133" s="813"/>
      <c r="BU133" s="813"/>
      <c r="BV133" s="813"/>
      <c r="BW133" s="813"/>
      <c r="BX133" s="813"/>
      <c r="BY133" s="813"/>
      <c r="BZ133" s="813"/>
      <c r="CA133" s="813"/>
      <c r="CB133" s="813"/>
      <c r="CC133" s="813"/>
      <c r="CD133" s="813"/>
      <c r="CE133" s="813"/>
      <c r="CF133" s="813"/>
      <c r="CG133" s="813"/>
      <c r="CH133" s="813"/>
      <c r="CI133" s="813"/>
      <c r="CJ133" s="813"/>
      <c r="CK133" s="813"/>
      <c r="CL133" s="813"/>
      <c r="CM133" s="813"/>
      <c r="CN133" s="277">
        <f>CN134+CN135+CN137+CN138+CN139</f>
        <v>71758.599999999991</v>
      </c>
      <c r="CO133" s="277">
        <f t="shared" ref="CO133:CS133" si="358">CO134+CO135+CO137+CO138+CO139</f>
        <v>10008.6</v>
      </c>
      <c r="CP133" s="277">
        <f t="shared" si="358"/>
        <v>0</v>
      </c>
      <c r="CQ133" s="277">
        <f t="shared" si="358"/>
        <v>0</v>
      </c>
      <c r="CR133" s="277">
        <f t="shared" si="358"/>
        <v>0</v>
      </c>
      <c r="CS133" s="273">
        <f t="shared" si="358"/>
        <v>61750</v>
      </c>
    </row>
    <row r="134" spans="1:98" s="4" customFormat="1" ht="144" x14ac:dyDescent="0.3">
      <c r="A134" s="190" t="s">
        <v>264</v>
      </c>
      <c r="B134" s="182" t="s">
        <v>265</v>
      </c>
      <c r="C134" s="182" t="s">
        <v>1295</v>
      </c>
      <c r="D134" s="193" t="s">
        <v>28</v>
      </c>
      <c r="E134" s="193" t="s">
        <v>266</v>
      </c>
      <c r="F134" s="74" t="s">
        <v>1430</v>
      </c>
      <c r="G134" s="193" t="s">
        <v>117</v>
      </c>
      <c r="H134" s="527"/>
      <c r="I134" s="193" t="s">
        <v>118</v>
      </c>
      <c r="J134" s="634"/>
      <c r="K134" s="288"/>
      <c r="L134" s="634"/>
      <c r="M134" s="657"/>
      <c r="N134" s="599" t="s">
        <v>1531</v>
      </c>
      <c r="O134" s="617"/>
      <c r="P134" s="518"/>
      <c r="Q134" s="193"/>
      <c r="R134" s="193"/>
      <c r="S134" s="193"/>
      <c r="T134" s="193"/>
      <c r="U134" s="193"/>
      <c r="V134" s="193"/>
      <c r="W134" s="193"/>
      <c r="X134" s="193"/>
      <c r="Y134" s="193"/>
      <c r="Z134" s="193"/>
      <c r="AA134" s="181">
        <f>SUM(AB134:AE134)</f>
        <v>7187.4</v>
      </c>
      <c r="AB134" s="70">
        <v>7187.4</v>
      </c>
      <c r="AC134" s="70"/>
      <c r="AD134" s="70"/>
      <c r="AE134" s="70"/>
      <c r="AF134" s="70"/>
      <c r="AG134" s="70"/>
      <c r="AH134" s="70"/>
      <c r="AI134" s="70"/>
      <c r="AJ134" s="70"/>
      <c r="AK134" s="70"/>
      <c r="AL134" s="70"/>
      <c r="AM134" s="70"/>
      <c r="AN134" s="70"/>
      <c r="AO134" s="70"/>
      <c r="AP134" s="77"/>
      <c r="AQ134" s="70"/>
      <c r="AR134" s="70"/>
      <c r="AS134" s="70"/>
      <c r="AT134" s="70"/>
      <c r="AU134" s="77"/>
      <c r="AV134" s="70"/>
      <c r="AW134" s="70"/>
      <c r="AX134" s="70"/>
      <c r="AY134" s="70"/>
      <c r="AZ134" s="77"/>
      <c r="BA134" s="70"/>
      <c r="BB134" s="70"/>
      <c r="BC134" s="70"/>
      <c r="BD134" s="70"/>
      <c r="BE134" s="77"/>
      <c r="BF134" s="70"/>
      <c r="BG134" s="70"/>
      <c r="BH134" s="70"/>
      <c r="BI134" s="70"/>
      <c r="BJ134" s="77"/>
      <c r="BK134" s="70"/>
      <c r="BL134" s="70"/>
      <c r="BM134" s="70"/>
      <c r="BN134" s="70"/>
      <c r="BO134" s="77"/>
      <c r="BP134" s="70"/>
      <c r="BQ134" s="70"/>
      <c r="BR134" s="70"/>
      <c r="BS134" s="70"/>
      <c r="BT134" s="77"/>
      <c r="BU134" s="70"/>
      <c r="BV134" s="70"/>
      <c r="BW134" s="70"/>
      <c r="BX134" s="70"/>
      <c r="BY134" s="77"/>
      <c r="BZ134" s="70"/>
      <c r="CA134" s="70"/>
      <c r="CB134" s="70"/>
      <c r="CC134" s="70"/>
      <c r="CD134" s="77"/>
      <c r="CE134" s="70"/>
      <c r="CF134" s="70"/>
      <c r="CG134" s="70"/>
      <c r="CH134" s="70"/>
      <c r="CI134" s="181">
        <f t="shared" ref="CI134" si="359">AA134+AF134+AK134</f>
        <v>7187.4</v>
      </c>
      <c r="CJ134" s="180">
        <f t="shared" ref="CJ134" si="360">AB134+AG134+AL134</f>
        <v>7187.4</v>
      </c>
      <c r="CK134" s="180">
        <f t="shared" ref="CK134" si="361">AC134+AH134+AM134</f>
        <v>0</v>
      </c>
      <c r="CL134" s="180">
        <f t="shared" ref="CL134" si="362">AD134+AI134+AN134</f>
        <v>0</v>
      </c>
      <c r="CM134" s="180">
        <f t="shared" ref="CM134" si="363">AE134+AJ134+AO134</f>
        <v>0</v>
      </c>
      <c r="CN134" s="181">
        <f t="shared" ref="CN134:CR135" si="364">AA134+AF134+AK134+AP134+AU134+AZ134+BE134+BJ134+BO134+BT134+BY134+CD134</f>
        <v>7187.4</v>
      </c>
      <c r="CO134" s="180">
        <f t="shared" si="364"/>
        <v>7187.4</v>
      </c>
      <c r="CP134" s="180">
        <f t="shared" si="364"/>
        <v>0</v>
      </c>
      <c r="CQ134" s="180">
        <f t="shared" si="364"/>
        <v>0</v>
      </c>
      <c r="CR134" s="180">
        <f t="shared" si="364"/>
        <v>0</v>
      </c>
      <c r="CS134" s="273">
        <f>CN134-CO134-CP134-CQ134-CR134</f>
        <v>0</v>
      </c>
      <c r="CT134" s="14"/>
    </row>
    <row r="135" spans="1:98" s="4" customFormat="1" ht="96" x14ac:dyDescent="0.3">
      <c r="A135" s="862" t="s">
        <v>816</v>
      </c>
      <c r="B135" s="804" t="s">
        <v>379</v>
      </c>
      <c r="C135" s="804" t="s">
        <v>1296</v>
      </c>
      <c r="D135" s="728" t="s">
        <v>364</v>
      </c>
      <c r="E135" s="728" t="s">
        <v>91</v>
      </c>
      <c r="F135" s="192" t="s">
        <v>380</v>
      </c>
      <c r="G135" s="187" t="s">
        <v>62</v>
      </c>
      <c r="H135" s="533"/>
      <c r="I135" s="187"/>
      <c r="J135" s="637">
        <v>10</v>
      </c>
      <c r="K135" s="452" t="s">
        <v>1465</v>
      </c>
      <c r="L135" s="637">
        <v>20</v>
      </c>
      <c r="M135" s="643">
        <v>0</v>
      </c>
      <c r="N135" s="600" t="s">
        <v>1532</v>
      </c>
      <c r="O135" s="511" t="s">
        <v>1661</v>
      </c>
      <c r="P135" s="511"/>
      <c r="Q135" s="187">
        <v>20</v>
      </c>
      <c r="R135" s="187">
        <v>30</v>
      </c>
      <c r="S135" s="187">
        <v>40</v>
      </c>
      <c r="T135" s="187">
        <v>50</v>
      </c>
      <c r="U135" s="187">
        <v>60</v>
      </c>
      <c r="V135" s="187">
        <v>70</v>
      </c>
      <c r="W135" s="187">
        <v>80</v>
      </c>
      <c r="X135" s="187">
        <v>90</v>
      </c>
      <c r="Y135" s="187">
        <v>95</v>
      </c>
      <c r="Z135" s="193">
        <v>100</v>
      </c>
      <c r="AA135" s="793"/>
      <c r="AB135" s="793"/>
      <c r="AC135" s="793"/>
      <c r="AD135" s="793"/>
      <c r="AE135" s="793"/>
      <c r="AF135" s="767">
        <v>6000</v>
      </c>
      <c r="AG135" s="765"/>
      <c r="AH135" s="765"/>
      <c r="AI135" s="765"/>
      <c r="AJ135" s="793"/>
      <c r="AK135" s="767">
        <v>6000</v>
      </c>
      <c r="AL135" s="765"/>
      <c r="AM135" s="765"/>
      <c r="AN135" s="793"/>
      <c r="AO135" s="793"/>
      <c r="AP135" s="767">
        <v>6000</v>
      </c>
      <c r="AQ135" s="765"/>
      <c r="AR135" s="765"/>
      <c r="AS135" s="793"/>
      <c r="AT135" s="793"/>
      <c r="AU135" s="767">
        <v>6000</v>
      </c>
      <c r="AV135" s="765"/>
      <c r="AW135" s="793"/>
      <c r="AX135" s="793"/>
      <c r="AY135" s="793"/>
      <c r="AZ135" s="767">
        <v>6000</v>
      </c>
      <c r="BA135" s="765"/>
      <c r="BB135" s="793"/>
      <c r="BC135" s="793"/>
      <c r="BD135" s="793"/>
      <c r="BE135" s="767">
        <v>6000</v>
      </c>
      <c r="BF135" s="765"/>
      <c r="BG135" s="793"/>
      <c r="BH135" s="793"/>
      <c r="BI135" s="793"/>
      <c r="BJ135" s="767">
        <v>6000</v>
      </c>
      <c r="BK135" s="765"/>
      <c r="BL135" s="793"/>
      <c r="BM135" s="793"/>
      <c r="BN135" s="793"/>
      <c r="BO135" s="767">
        <v>6000</v>
      </c>
      <c r="BP135" s="765"/>
      <c r="BQ135" s="793"/>
      <c r="BR135" s="793"/>
      <c r="BS135" s="793"/>
      <c r="BT135" s="767">
        <v>6000</v>
      </c>
      <c r="BU135" s="765"/>
      <c r="BV135" s="793"/>
      <c r="BW135" s="793"/>
      <c r="BX135" s="793"/>
      <c r="BY135" s="767">
        <v>3000</v>
      </c>
      <c r="BZ135" s="765"/>
      <c r="CA135" s="793"/>
      <c r="CB135" s="793"/>
      <c r="CC135" s="793"/>
      <c r="CD135" s="767">
        <v>3000</v>
      </c>
      <c r="CE135" s="765"/>
      <c r="CF135" s="793"/>
      <c r="CG135" s="793"/>
      <c r="CH135" s="793"/>
      <c r="CI135" s="773">
        <f t="shared" ref="CI135:CI138" si="365">AA135+AF135+AK135</f>
        <v>12000</v>
      </c>
      <c r="CJ135" s="791">
        <f t="shared" ref="CJ135:CJ138" si="366">AB135+AG135+AL135</f>
        <v>0</v>
      </c>
      <c r="CK135" s="791">
        <f t="shared" ref="CK135:CK138" si="367">AC135+AH135+AM135</f>
        <v>0</v>
      </c>
      <c r="CL135" s="791">
        <f t="shared" ref="CL135:CL138" si="368">AD135+AI135+AN135</f>
        <v>0</v>
      </c>
      <c r="CM135" s="791">
        <f t="shared" ref="CM135:CM138" si="369">AE135+AJ135+AO135</f>
        <v>0</v>
      </c>
      <c r="CN135" s="773">
        <f t="shared" si="364"/>
        <v>60000</v>
      </c>
      <c r="CO135" s="791">
        <f t="shared" si="364"/>
        <v>0</v>
      </c>
      <c r="CP135" s="791">
        <f t="shared" si="364"/>
        <v>0</v>
      </c>
      <c r="CQ135" s="791">
        <f t="shared" si="364"/>
        <v>0</v>
      </c>
      <c r="CR135" s="791">
        <f t="shared" si="364"/>
        <v>0</v>
      </c>
      <c r="CS135" s="775">
        <f>CN135-CO135-CP135-CQ135-CR135</f>
        <v>60000</v>
      </c>
      <c r="CT135" s="14"/>
    </row>
    <row r="136" spans="1:98" s="4" customFormat="1" ht="96" x14ac:dyDescent="0.3">
      <c r="A136" s="863"/>
      <c r="B136" s="805"/>
      <c r="C136" s="805"/>
      <c r="D136" s="729"/>
      <c r="E136" s="729"/>
      <c r="F136" s="192" t="s">
        <v>880</v>
      </c>
      <c r="G136" s="503" t="s">
        <v>62</v>
      </c>
      <c r="H136" s="533">
        <v>10</v>
      </c>
      <c r="I136" s="503"/>
      <c r="J136" s="637">
        <v>29</v>
      </c>
      <c r="K136" s="521">
        <v>15</v>
      </c>
      <c r="L136" s="637">
        <v>29</v>
      </c>
      <c r="M136" s="643">
        <v>0</v>
      </c>
      <c r="N136" s="592" t="s">
        <v>1533</v>
      </c>
      <c r="O136" s="615" t="s">
        <v>1649</v>
      </c>
      <c r="P136" s="563"/>
      <c r="Q136" s="187">
        <v>29</v>
      </c>
      <c r="R136" s="187">
        <v>35</v>
      </c>
      <c r="S136" s="187">
        <v>40</v>
      </c>
      <c r="T136" s="187">
        <v>50</v>
      </c>
      <c r="U136" s="187">
        <v>70</v>
      </c>
      <c r="V136" s="187">
        <v>70</v>
      </c>
      <c r="W136" s="187">
        <v>80</v>
      </c>
      <c r="X136" s="187">
        <v>80</v>
      </c>
      <c r="Y136" s="187">
        <v>90</v>
      </c>
      <c r="Z136" s="193">
        <v>100</v>
      </c>
      <c r="AA136" s="794"/>
      <c r="AB136" s="794"/>
      <c r="AC136" s="794"/>
      <c r="AD136" s="794"/>
      <c r="AE136" s="794"/>
      <c r="AF136" s="768"/>
      <c r="AG136" s="766"/>
      <c r="AH136" s="766"/>
      <c r="AI136" s="766"/>
      <c r="AJ136" s="794"/>
      <c r="AK136" s="768"/>
      <c r="AL136" s="766"/>
      <c r="AM136" s="766"/>
      <c r="AN136" s="794"/>
      <c r="AO136" s="794"/>
      <c r="AP136" s="768"/>
      <c r="AQ136" s="766"/>
      <c r="AR136" s="766"/>
      <c r="AS136" s="794"/>
      <c r="AT136" s="794"/>
      <c r="AU136" s="768"/>
      <c r="AV136" s="766"/>
      <c r="AW136" s="794"/>
      <c r="AX136" s="794"/>
      <c r="AY136" s="794"/>
      <c r="AZ136" s="768"/>
      <c r="BA136" s="766"/>
      <c r="BB136" s="794"/>
      <c r="BC136" s="794"/>
      <c r="BD136" s="794"/>
      <c r="BE136" s="768"/>
      <c r="BF136" s="766"/>
      <c r="BG136" s="794"/>
      <c r="BH136" s="794"/>
      <c r="BI136" s="794"/>
      <c r="BJ136" s="768"/>
      <c r="BK136" s="766"/>
      <c r="BL136" s="794"/>
      <c r="BM136" s="794"/>
      <c r="BN136" s="794"/>
      <c r="BO136" s="768"/>
      <c r="BP136" s="766"/>
      <c r="BQ136" s="794"/>
      <c r="BR136" s="794"/>
      <c r="BS136" s="794"/>
      <c r="BT136" s="768"/>
      <c r="BU136" s="766"/>
      <c r="BV136" s="794"/>
      <c r="BW136" s="794"/>
      <c r="BX136" s="794"/>
      <c r="BY136" s="768"/>
      <c r="BZ136" s="766"/>
      <c r="CA136" s="794"/>
      <c r="CB136" s="794"/>
      <c r="CC136" s="794"/>
      <c r="CD136" s="768"/>
      <c r="CE136" s="766"/>
      <c r="CF136" s="794"/>
      <c r="CG136" s="794"/>
      <c r="CH136" s="794"/>
      <c r="CI136" s="774"/>
      <c r="CJ136" s="792"/>
      <c r="CK136" s="792"/>
      <c r="CL136" s="792"/>
      <c r="CM136" s="792"/>
      <c r="CN136" s="774"/>
      <c r="CO136" s="792"/>
      <c r="CP136" s="792"/>
      <c r="CQ136" s="792"/>
      <c r="CR136" s="792"/>
      <c r="CS136" s="776"/>
      <c r="CT136" s="14"/>
    </row>
    <row r="137" spans="1:98" s="4" customFormat="1" ht="120" x14ac:dyDescent="0.3">
      <c r="A137" s="354" t="s">
        <v>817</v>
      </c>
      <c r="B137" s="355" t="s">
        <v>1031</v>
      </c>
      <c r="C137" s="356" t="s">
        <v>1297</v>
      </c>
      <c r="D137" s="357" t="s">
        <v>364</v>
      </c>
      <c r="E137" s="357" t="s">
        <v>378</v>
      </c>
      <c r="F137" s="334" t="s">
        <v>381</v>
      </c>
      <c r="G137" s="357" t="s">
        <v>62</v>
      </c>
      <c r="H137" s="533"/>
      <c r="I137" s="357"/>
      <c r="J137" s="637"/>
      <c r="K137" s="357"/>
      <c r="L137" s="637"/>
      <c r="M137" s="643"/>
      <c r="N137" s="592"/>
      <c r="O137" s="817" t="s">
        <v>1662</v>
      </c>
      <c r="P137" s="728"/>
      <c r="Q137" s="357"/>
      <c r="R137" s="357">
        <v>50</v>
      </c>
      <c r="S137" s="357">
        <v>75</v>
      </c>
      <c r="T137" s="357">
        <v>100</v>
      </c>
      <c r="U137" s="353"/>
      <c r="V137" s="353"/>
      <c r="W137" s="353"/>
      <c r="X137" s="353"/>
      <c r="Y137" s="353"/>
      <c r="Z137" s="353"/>
      <c r="AA137" s="70"/>
      <c r="AB137" s="70"/>
      <c r="AC137" s="70"/>
      <c r="AD137" s="70"/>
      <c r="AE137" s="70"/>
      <c r="AF137" s="342"/>
      <c r="AG137" s="341"/>
      <c r="AH137" s="341"/>
      <c r="AI137" s="341"/>
      <c r="AJ137" s="70"/>
      <c r="AK137" s="342"/>
      <c r="AL137" s="341"/>
      <c r="AM137" s="341"/>
      <c r="AN137" s="70"/>
      <c r="AO137" s="70"/>
      <c r="AP137" s="342">
        <v>500</v>
      </c>
      <c r="AQ137" s="341"/>
      <c r="AR137" s="341"/>
      <c r="AS137" s="70"/>
      <c r="AT137" s="70"/>
      <c r="AU137" s="342">
        <v>250</v>
      </c>
      <c r="AV137" s="341"/>
      <c r="AW137" s="70"/>
      <c r="AX137" s="70"/>
      <c r="AY137" s="70"/>
      <c r="AZ137" s="342">
        <v>250</v>
      </c>
      <c r="BA137" s="341"/>
      <c r="BB137" s="70"/>
      <c r="BC137" s="70"/>
      <c r="BD137" s="70"/>
      <c r="BE137" s="77"/>
      <c r="BF137" s="70"/>
      <c r="BG137" s="70"/>
      <c r="BH137" s="70"/>
      <c r="BI137" s="70"/>
      <c r="BJ137" s="77"/>
      <c r="BK137" s="70"/>
      <c r="BL137" s="70"/>
      <c r="BM137" s="70"/>
      <c r="BN137" s="70"/>
      <c r="BO137" s="77"/>
      <c r="BP137" s="70"/>
      <c r="BQ137" s="70"/>
      <c r="BR137" s="70"/>
      <c r="BS137" s="70"/>
      <c r="BT137" s="77"/>
      <c r="BU137" s="70"/>
      <c r="BV137" s="70"/>
      <c r="BW137" s="70"/>
      <c r="BX137" s="70"/>
      <c r="BY137" s="77"/>
      <c r="BZ137" s="70"/>
      <c r="CA137" s="70"/>
      <c r="CB137" s="70"/>
      <c r="CC137" s="70"/>
      <c r="CD137" s="77"/>
      <c r="CE137" s="70"/>
      <c r="CF137" s="70"/>
      <c r="CG137" s="70"/>
      <c r="CH137" s="70"/>
      <c r="CI137" s="352">
        <f t="shared" si="365"/>
        <v>0</v>
      </c>
      <c r="CJ137" s="351">
        <f t="shared" si="366"/>
        <v>0</v>
      </c>
      <c r="CK137" s="351">
        <f t="shared" si="367"/>
        <v>0</v>
      </c>
      <c r="CL137" s="351">
        <f t="shared" si="368"/>
        <v>0</v>
      </c>
      <c r="CM137" s="351">
        <f t="shared" si="369"/>
        <v>0</v>
      </c>
      <c r="CN137" s="352">
        <f t="shared" ref="CN137:CR138" si="370">AA137+AF137+AK137+AP137+AU137+AZ137+BE137+BJ137+BO137+BT137+BY137+CD137</f>
        <v>1000</v>
      </c>
      <c r="CO137" s="351">
        <f t="shared" si="370"/>
        <v>0</v>
      </c>
      <c r="CP137" s="351">
        <f t="shared" si="370"/>
        <v>0</v>
      </c>
      <c r="CQ137" s="351">
        <f t="shared" si="370"/>
        <v>0</v>
      </c>
      <c r="CR137" s="351">
        <f t="shared" si="370"/>
        <v>0</v>
      </c>
      <c r="CS137" s="352">
        <f>CN137-CO137-CP137-CQ137-CR137</f>
        <v>1000</v>
      </c>
      <c r="CT137" s="14"/>
    </row>
    <row r="138" spans="1:98" s="4" customFormat="1" ht="72" x14ac:dyDescent="0.3">
      <c r="A138" s="354" t="s">
        <v>818</v>
      </c>
      <c r="B138" s="355" t="s">
        <v>382</v>
      </c>
      <c r="C138" s="356" t="s">
        <v>383</v>
      </c>
      <c r="D138" s="357" t="s">
        <v>364</v>
      </c>
      <c r="E138" s="357" t="s">
        <v>336</v>
      </c>
      <c r="F138" s="334" t="s">
        <v>384</v>
      </c>
      <c r="G138" s="357" t="s">
        <v>62</v>
      </c>
      <c r="H138" s="533"/>
      <c r="I138" s="357"/>
      <c r="J138" s="637"/>
      <c r="K138" s="357"/>
      <c r="L138" s="637"/>
      <c r="M138" s="643"/>
      <c r="N138" s="592"/>
      <c r="O138" s="818"/>
      <c r="P138" s="729"/>
      <c r="Q138" s="357"/>
      <c r="R138" s="357">
        <v>75</v>
      </c>
      <c r="S138" s="357">
        <v>100</v>
      </c>
      <c r="T138" s="353"/>
      <c r="U138" s="353"/>
      <c r="V138" s="353"/>
      <c r="W138" s="353"/>
      <c r="X138" s="353"/>
      <c r="Y138" s="353"/>
      <c r="Z138" s="353"/>
      <c r="AA138" s="70"/>
      <c r="AB138" s="70"/>
      <c r="AC138" s="70"/>
      <c r="AD138" s="70"/>
      <c r="AE138" s="70"/>
      <c r="AF138" s="342"/>
      <c r="AG138" s="341"/>
      <c r="AH138" s="341"/>
      <c r="AI138" s="341"/>
      <c r="AJ138" s="70"/>
      <c r="AK138" s="342"/>
      <c r="AL138" s="341"/>
      <c r="AM138" s="341"/>
      <c r="AN138" s="70"/>
      <c r="AO138" s="70"/>
      <c r="AP138" s="342">
        <v>500</v>
      </c>
      <c r="AQ138" s="341"/>
      <c r="AR138" s="341"/>
      <c r="AS138" s="70"/>
      <c r="AT138" s="70"/>
      <c r="AU138" s="342">
        <v>250</v>
      </c>
      <c r="AV138" s="341"/>
      <c r="AW138" s="70"/>
      <c r="AX138" s="70"/>
      <c r="AY138" s="70"/>
      <c r="AZ138" s="77"/>
      <c r="BA138" s="70"/>
      <c r="BB138" s="70"/>
      <c r="BC138" s="70"/>
      <c r="BD138" s="70"/>
      <c r="BE138" s="77"/>
      <c r="BF138" s="70"/>
      <c r="BG138" s="70"/>
      <c r="BH138" s="70"/>
      <c r="BI138" s="70"/>
      <c r="BJ138" s="77"/>
      <c r="BK138" s="70"/>
      <c r="BL138" s="70"/>
      <c r="BM138" s="70"/>
      <c r="BN138" s="70"/>
      <c r="BO138" s="77"/>
      <c r="BP138" s="70"/>
      <c r="BQ138" s="70"/>
      <c r="BR138" s="70"/>
      <c r="BS138" s="70"/>
      <c r="BT138" s="77"/>
      <c r="BU138" s="70"/>
      <c r="BV138" s="70"/>
      <c r="BW138" s="70"/>
      <c r="BX138" s="70"/>
      <c r="BY138" s="77"/>
      <c r="BZ138" s="70"/>
      <c r="CA138" s="70"/>
      <c r="CB138" s="70"/>
      <c r="CC138" s="70"/>
      <c r="CD138" s="77"/>
      <c r="CE138" s="70"/>
      <c r="CF138" s="70"/>
      <c r="CG138" s="70"/>
      <c r="CH138" s="70"/>
      <c r="CI138" s="352">
        <f t="shared" si="365"/>
        <v>0</v>
      </c>
      <c r="CJ138" s="351">
        <f t="shared" si="366"/>
        <v>0</v>
      </c>
      <c r="CK138" s="351">
        <f t="shared" si="367"/>
        <v>0</v>
      </c>
      <c r="CL138" s="351">
        <f t="shared" si="368"/>
        <v>0</v>
      </c>
      <c r="CM138" s="351">
        <f t="shared" si="369"/>
        <v>0</v>
      </c>
      <c r="CN138" s="352">
        <f t="shared" si="370"/>
        <v>750</v>
      </c>
      <c r="CO138" s="351">
        <f t="shared" si="370"/>
        <v>0</v>
      </c>
      <c r="CP138" s="351">
        <f t="shared" si="370"/>
        <v>0</v>
      </c>
      <c r="CQ138" s="351">
        <f t="shared" si="370"/>
        <v>0</v>
      </c>
      <c r="CR138" s="351">
        <f t="shared" si="370"/>
        <v>0</v>
      </c>
      <c r="CS138" s="352">
        <f>CN138-CO138-CP138-CQ138-CR138</f>
        <v>750</v>
      </c>
      <c r="CT138" s="14"/>
    </row>
    <row r="139" spans="1:98" s="4" customFormat="1" ht="336" x14ac:dyDescent="0.3">
      <c r="A139" s="190" t="s">
        <v>1401</v>
      </c>
      <c r="B139" s="74" t="s">
        <v>1402</v>
      </c>
      <c r="C139" s="74" t="s">
        <v>1403</v>
      </c>
      <c r="D139" s="187" t="s">
        <v>1404</v>
      </c>
      <c r="E139" s="193" t="s">
        <v>91</v>
      </c>
      <c r="F139" s="74" t="s">
        <v>1405</v>
      </c>
      <c r="G139" s="193" t="s">
        <v>62</v>
      </c>
      <c r="H139" s="527">
        <v>3.9</v>
      </c>
      <c r="I139" s="140">
        <v>2</v>
      </c>
      <c r="J139" s="634">
        <v>15.7</v>
      </c>
      <c r="K139" s="140">
        <v>11</v>
      </c>
      <c r="L139" s="634">
        <v>11.8</v>
      </c>
      <c r="M139" s="658">
        <v>89.7</v>
      </c>
      <c r="N139" s="598" t="s">
        <v>1534</v>
      </c>
      <c r="O139" s="617" t="s">
        <v>1638</v>
      </c>
      <c r="P139" s="557"/>
      <c r="Q139" s="193">
        <v>11.8</v>
      </c>
      <c r="R139" s="193">
        <v>9.8000000000000007</v>
      </c>
      <c r="S139" s="193">
        <v>7.8</v>
      </c>
      <c r="T139" s="193">
        <v>5.9</v>
      </c>
      <c r="U139" s="193">
        <v>5.9</v>
      </c>
      <c r="V139" s="193">
        <v>3.9</v>
      </c>
      <c r="W139" s="193">
        <v>3.9</v>
      </c>
      <c r="X139" s="193">
        <v>0</v>
      </c>
      <c r="Y139" s="193">
        <v>0</v>
      </c>
      <c r="Z139" s="193">
        <v>5.9</v>
      </c>
      <c r="AA139" s="70"/>
      <c r="AB139" s="70"/>
      <c r="AC139" s="70"/>
      <c r="AD139" s="70"/>
      <c r="AE139" s="70"/>
      <c r="AF139" s="165">
        <f>SUM(AG139:AJ139)</f>
        <v>647.6</v>
      </c>
      <c r="AG139" s="164">
        <v>647.6</v>
      </c>
      <c r="AH139" s="164"/>
      <c r="AI139" s="164"/>
      <c r="AJ139" s="70"/>
      <c r="AK139" s="165">
        <f>SUM(AL139:AO139)</f>
        <v>537.70000000000005</v>
      </c>
      <c r="AL139" s="164">
        <v>537.70000000000005</v>
      </c>
      <c r="AM139" s="164"/>
      <c r="AN139" s="70"/>
      <c r="AO139" s="70"/>
      <c r="AP139" s="165">
        <f>SUM(AQ139:AT139)</f>
        <v>406.4</v>
      </c>
      <c r="AQ139" s="164">
        <v>406.4</v>
      </c>
      <c r="AR139" s="164"/>
      <c r="AS139" s="70"/>
      <c r="AT139" s="70"/>
      <c r="AU139" s="165">
        <f>SUM(AV139:AY139)</f>
        <v>284.8</v>
      </c>
      <c r="AV139" s="164">
        <v>284.8</v>
      </c>
      <c r="AW139" s="70"/>
      <c r="AX139" s="70"/>
      <c r="AY139" s="70"/>
      <c r="AZ139" s="165">
        <f>SUM(BA139:BD139)</f>
        <v>240.8</v>
      </c>
      <c r="BA139" s="164">
        <v>240.8</v>
      </c>
      <c r="BB139" s="70"/>
      <c r="BC139" s="70"/>
      <c r="BD139" s="70"/>
      <c r="BE139" s="165">
        <f>SUM(BF139:BI139)</f>
        <v>155.6</v>
      </c>
      <c r="BF139" s="164">
        <v>155.6</v>
      </c>
      <c r="BG139" s="70"/>
      <c r="BH139" s="70"/>
      <c r="BI139" s="70"/>
      <c r="BJ139" s="165">
        <f>SUM(BK139:BN139)</f>
        <v>137.5</v>
      </c>
      <c r="BK139" s="164">
        <v>137.5</v>
      </c>
      <c r="BL139" s="70"/>
      <c r="BM139" s="70"/>
      <c r="BN139" s="70"/>
      <c r="BO139" s="165">
        <f>SUM(BP139:BS139)</f>
        <v>158.9</v>
      </c>
      <c r="BP139" s="164">
        <v>158.9</v>
      </c>
      <c r="BQ139" s="70"/>
      <c r="BR139" s="70"/>
      <c r="BS139" s="70"/>
      <c r="BT139" s="165"/>
      <c r="BU139" s="164"/>
      <c r="BV139" s="70"/>
      <c r="BW139" s="70"/>
      <c r="BX139" s="70"/>
      <c r="BY139" s="165"/>
      <c r="BZ139" s="164"/>
      <c r="CA139" s="70"/>
      <c r="CB139" s="70"/>
      <c r="CC139" s="70"/>
      <c r="CD139" s="165">
        <f>SUM(CE139:CH139)</f>
        <v>251.9</v>
      </c>
      <c r="CE139" s="164">
        <v>251.9</v>
      </c>
      <c r="CF139" s="70"/>
      <c r="CG139" s="70"/>
      <c r="CH139" s="70"/>
      <c r="CI139" s="181">
        <f t="shared" ref="CI139" si="371">AA139+AF139+AK139</f>
        <v>1185.3000000000002</v>
      </c>
      <c r="CJ139" s="180">
        <f t="shared" ref="CJ139" si="372">AB139+AG139+AL139</f>
        <v>1185.3000000000002</v>
      </c>
      <c r="CK139" s="180">
        <f t="shared" ref="CK139" si="373">AC139+AH139+AM139</f>
        <v>0</v>
      </c>
      <c r="CL139" s="180">
        <f t="shared" ref="CL139" si="374">AD139+AI139+AN139</f>
        <v>0</v>
      </c>
      <c r="CM139" s="180">
        <f t="shared" ref="CM139" si="375">AE139+AJ139+AO139</f>
        <v>0</v>
      </c>
      <c r="CN139" s="181">
        <f t="shared" ref="CN139" si="376">AA139+AF139+AK139+AP139+AU139+AZ139+BE139+BJ139+BO139+BT139+BY139+CD139</f>
        <v>2821.2000000000003</v>
      </c>
      <c r="CO139" s="180">
        <f t="shared" ref="CO139" si="377">AB139+AG139+AL139+AQ139+AV139+BA139+BF139+BK139+BP139+BU139+BZ139+CE139</f>
        <v>2821.2000000000003</v>
      </c>
      <c r="CP139" s="180">
        <f t="shared" ref="CP139" si="378">AC139+AH139+AM139+AR139+AW139+BB139+BG139+BL139+BQ139+BV139+CA139+CF139</f>
        <v>0</v>
      </c>
      <c r="CQ139" s="180">
        <f t="shared" ref="CQ139" si="379">AD139+AI139+AN139+AS139+AX139+BC139+BH139+BM139+BR139+BW139+CB139+CG139</f>
        <v>0</v>
      </c>
      <c r="CR139" s="180">
        <f t="shared" ref="CR139" si="380">AE139+AJ139+AO139+AT139+AY139+BD139+BI139+BN139+BS139+BX139+CC139+CH139</f>
        <v>0</v>
      </c>
      <c r="CS139" s="273">
        <f>CN139-CO139-CP139-CQ139-CR139</f>
        <v>0</v>
      </c>
      <c r="CT139" s="14"/>
    </row>
    <row r="140" spans="1:98" x14ac:dyDescent="0.3">
      <c r="A140" s="363" t="s">
        <v>267</v>
      </c>
      <c r="B140" s="824" t="s">
        <v>268</v>
      </c>
      <c r="C140" s="824"/>
      <c r="D140" s="824"/>
      <c r="E140" s="824"/>
      <c r="F140" s="824"/>
      <c r="G140" s="824"/>
      <c r="H140" s="824"/>
      <c r="I140" s="824"/>
      <c r="J140" s="824"/>
      <c r="K140" s="824"/>
      <c r="L140" s="824"/>
      <c r="M140" s="824"/>
      <c r="N140" s="824"/>
      <c r="O140" s="824"/>
      <c r="P140" s="824"/>
      <c r="Q140" s="824"/>
      <c r="R140" s="824"/>
      <c r="S140" s="824"/>
      <c r="T140" s="824"/>
      <c r="U140" s="824"/>
      <c r="V140" s="824"/>
      <c r="W140" s="824"/>
      <c r="X140" s="824"/>
      <c r="Y140" s="824"/>
      <c r="Z140" s="824"/>
      <c r="AA140" s="824"/>
      <c r="AB140" s="824"/>
      <c r="AC140" s="824"/>
      <c r="AD140" s="824"/>
      <c r="AE140" s="824"/>
      <c r="AF140" s="824"/>
      <c r="AG140" s="824"/>
      <c r="AH140" s="824"/>
      <c r="AI140" s="824"/>
      <c r="AJ140" s="824"/>
      <c r="AK140" s="824"/>
      <c r="AL140" s="824"/>
      <c r="AM140" s="824"/>
      <c r="AN140" s="824"/>
      <c r="AO140" s="824"/>
      <c r="AP140" s="824"/>
      <c r="AQ140" s="824"/>
      <c r="AR140" s="824"/>
      <c r="AS140" s="824"/>
      <c r="AT140" s="824"/>
      <c r="AU140" s="824"/>
      <c r="AV140" s="824"/>
      <c r="AW140" s="824"/>
      <c r="AX140" s="824"/>
      <c r="AY140" s="824"/>
      <c r="AZ140" s="824"/>
      <c r="BA140" s="824"/>
      <c r="BB140" s="824"/>
      <c r="BC140" s="824"/>
      <c r="BD140" s="824"/>
      <c r="BE140" s="824"/>
      <c r="BF140" s="824"/>
      <c r="BG140" s="824"/>
      <c r="BH140" s="824"/>
      <c r="BI140" s="824"/>
      <c r="BJ140" s="824"/>
      <c r="BK140" s="824"/>
      <c r="BL140" s="824"/>
      <c r="BM140" s="824"/>
      <c r="BN140" s="824"/>
      <c r="BO140" s="824"/>
      <c r="BP140" s="824"/>
      <c r="BQ140" s="824"/>
      <c r="BR140" s="824"/>
      <c r="BS140" s="824"/>
      <c r="BT140" s="824"/>
      <c r="BU140" s="824"/>
      <c r="BV140" s="824"/>
      <c r="BW140" s="824"/>
      <c r="BX140" s="824"/>
      <c r="BY140" s="824"/>
      <c r="BZ140" s="824"/>
      <c r="CA140" s="824"/>
      <c r="CB140" s="824"/>
      <c r="CC140" s="824"/>
      <c r="CD140" s="824"/>
      <c r="CE140" s="824"/>
      <c r="CF140" s="824"/>
      <c r="CG140" s="824"/>
      <c r="CH140" s="824"/>
      <c r="CI140" s="824"/>
      <c r="CJ140" s="824"/>
      <c r="CK140" s="824"/>
      <c r="CL140" s="824"/>
      <c r="CM140" s="824"/>
      <c r="CN140" s="56">
        <f t="shared" ref="CN140:CS140" si="381">CN141+CN144+CN147+CN152+CN160</f>
        <v>12240376.100000001</v>
      </c>
      <c r="CO140" s="56">
        <f t="shared" si="381"/>
        <v>275611.19999999995</v>
      </c>
      <c r="CP140" s="56">
        <f t="shared" si="381"/>
        <v>1436862.4000000001</v>
      </c>
      <c r="CQ140" s="56">
        <f t="shared" si="381"/>
        <v>1902.5</v>
      </c>
      <c r="CR140" s="56">
        <f t="shared" si="381"/>
        <v>1660000</v>
      </c>
      <c r="CS140" s="273">
        <f t="shared" si="381"/>
        <v>8866000</v>
      </c>
    </row>
    <row r="141" spans="1:98" x14ac:dyDescent="0.3">
      <c r="A141" s="362" t="s">
        <v>269</v>
      </c>
      <c r="B141" s="813" t="s">
        <v>270</v>
      </c>
      <c r="C141" s="813"/>
      <c r="D141" s="813"/>
      <c r="E141" s="813"/>
      <c r="F141" s="813"/>
      <c r="G141" s="813"/>
      <c r="H141" s="813"/>
      <c r="I141" s="813"/>
      <c r="J141" s="813"/>
      <c r="K141" s="813"/>
      <c r="L141" s="813"/>
      <c r="M141" s="813"/>
      <c r="N141" s="813"/>
      <c r="O141" s="813"/>
      <c r="P141" s="813"/>
      <c r="Q141" s="813"/>
      <c r="R141" s="813"/>
      <c r="S141" s="813"/>
      <c r="T141" s="813"/>
      <c r="U141" s="813"/>
      <c r="V141" s="813"/>
      <c r="W141" s="813"/>
      <c r="X141" s="813"/>
      <c r="Y141" s="813"/>
      <c r="Z141" s="813"/>
      <c r="AA141" s="813"/>
      <c r="AB141" s="813"/>
      <c r="AC141" s="813"/>
      <c r="AD141" s="813"/>
      <c r="AE141" s="813"/>
      <c r="AF141" s="813"/>
      <c r="AG141" s="813"/>
      <c r="AH141" s="813"/>
      <c r="AI141" s="813"/>
      <c r="AJ141" s="813"/>
      <c r="AK141" s="813"/>
      <c r="AL141" s="813"/>
      <c r="AM141" s="813"/>
      <c r="AN141" s="813"/>
      <c r="AO141" s="813"/>
      <c r="AP141" s="813"/>
      <c r="AQ141" s="813"/>
      <c r="AR141" s="813"/>
      <c r="AS141" s="813"/>
      <c r="AT141" s="813"/>
      <c r="AU141" s="813"/>
      <c r="AV141" s="813"/>
      <c r="AW141" s="813"/>
      <c r="AX141" s="813"/>
      <c r="AY141" s="813"/>
      <c r="AZ141" s="813"/>
      <c r="BA141" s="813"/>
      <c r="BB141" s="813"/>
      <c r="BC141" s="813"/>
      <c r="BD141" s="813"/>
      <c r="BE141" s="813"/>
      <c r="BF141" s="813"/>
      <c r="BG141" s="813"/>
      <c r="BH141" s="813"/>
      <c r="BI141" s="813"/>
      <c r="BJ141" s="813"/>
      <c r="BK141" s="813"/>
      <c r="BL141" s="813"/>
      <c r="BM141" s="813"/>
      <c r="BN141" s="813"/>
      <c r="BO141" s="813"/>
      <c r="BP141" s="813"/>
      <c r="BQ141" s="813"/>
      <c r="BR141" s="813"/>
      <c r="BS141" s="813"/>
      <c r="BT141" s="813"/>
      <c r="BU141" s="813"/>
      <c r="BV141" s="813"/>
      <c r="BW141" s="813"/>
      <c r="BX141" s="813"/>
      <c r="BY141" s="813"/>
      <c r="BZ141" s="813"/>
      <c r="CA141" s="813"/>
      <c r="CB141" s="813"/>
      <c r="CC141" s="813"/>
      <c r="CD141" s="813"/>
      <c r="CE141" s="813"/>
      <c r="CF141" s="813"/>
      <c r="CG141" s="813"/>
      <c r="CH141" s="813"/>
      <c r="CI141" s="813"/>
      <c r="CJ141" s="813"/>
      <c r="CK141" s="813"/>
      <c r="CL141" s="813"/>
      <c r="CM141" s="813"/>
      <c r="CN141" s="277">
        <f>CN142+CN143</f>
        <v>144239.4</v>
      </c>
      <c r="CO141" s="277">
        <f t="shared" ref="CO141:CS141" si="382">CO142+CO143</f>
        <v>144014.39999999999</v>
      </c>
      <c r="CP141" s="277">
        <f t="shared" si="382"/>
        <v>0</v>
      </c>
      <c r="CQ141" s="277">
        <f t="shared" si="382"/>
        <v>225</v>
      </c>
      <c r="CR141" s="277">
        <f t="shared" si="382"/>
        <v>0</v>
      </c>
      <c r="CS141" s="273">
        <f t="shared" si="382"/>
        <v>0</v>
      </c>
    </row>
    <row r="142" spans="1:98" s="4" customFormat="1" ht="168" x14ac:dyDescent="0.3">
      <c r="A142" s="190" t="s">
        <v>271</v>
      </c>
      <c r="B142" s="188" t="s">
        <v>272</v>
      </c>
      <c r="C142" s="188" t="s">
        <v>1298</v>
      </c>
      <c r="D142" s="187" t="s">
        <v>122</v>
      </c>
      <c r="E142" s="193" t="s">
        <v>273</v>
      </c>
      <c r="F142" s="192" t="s">
        <v>274</v>
      </c>
      <c r="G142" s="187" t="s">
        <v>74</v>
      </c>
      <c r="H142" s="527"/>
      <c r="I142" s="193">
        <v>1</v>
      </c>
      <c r="J142" s="634"/>
      <c r="K142" s="516">
        <v>1</v>
      </c>
      <c r="L142" s="634"/>
      <c r="M142" s="657"/>
      <c r="N142" s="598" t="s">
        <v>1535</v>
      </c>
      <c r="O142" s="617"/>
      <c r="P142" s="582"/>
      <c r="Q142" s="193"/>
      <c r="R142" s="193"/>
      <c r="S142" s="193"/>
      <c r="T142" s="193"/>
      <c r="U142" s="193"/>
      <c r="V142" s="193"/>
      <c r="W142" s="193"/>
      <c r="X142" s="193"/>
      <c r="Y142" s="193"/>
      <c r="Z142" s="193"/>
      <c r="AA142" s="165">
        <f>SUM(AB142:AE142)</f>
        <v>225</v>
      </c>
      <c r="AB142" s="164"/>
      <c r="AC142" s="164"/>
      <c r="AD142" s="164">
        <v>225</v>
      </c>
      <c r="AE142" s="164"/>
      <c r="AF142" s="165"/>
      <c r="AG142" s="164"/>
      <c r="AH142" s="70"/>
      <c r="AI142" s="70"/>
      <c r="AJ142" s="70"/>
      <c r="AK142" s="165"/>
      <c r="AL142" s="70"/>
      <c r="AM142" s="70"/>
      <c r="AN142" s="70"/>
      <c r="AO142" s="70"/>
      <c r="AP142" s="165"/>
      <c r="AQ142" s="70"/>
      <c r="AR142" s="70"/>
      <c r="AS142" s="70"/>
      <c r="AT142" s="70"/>
      <c r="AU142" s="165"/>
      <c r="AV142" s="70"/>
      <c r="AW142" s="70"/>
      <c r="AX142" s="70"/>
      <c r="AY142" s="70"/>
      <c r="AZ142" s="165"/>
      <c r="BA142" s="70"/>
      <c r="BB142" s="70"/>
      <c r="BC142" s="70"/>
      <c r="BD142" s="70"/>
      <c r="BE142" s="165"/>
      <c r="BF142" s="70"/>
      <c r="BG142" s="70"/>
      <c r="BH142" s="70"/>
      <c r="BI142" s="70"/>
      <c r="BJ142" s="165"/>
      <c r="BK142" s="70"/>
      <c r="BL142" s="70"/>
      <c r="BM142" s="70"/>
      <c r="BN142" s="70"/>
      <c r="BO142" s="165"/>
      <c r="BP142" s="70"/>
      <c r="BQ142" s="70"/>
      <c r="BR142" s="70"/>
      <c r="BS142" s="70"/>
      <c r="BT142" s="165"/>
      <c r="BU142" s="70"/>
      <c r="BV142" s="70"/>
      <c r="BW142" s="70"/>
      <c r="BX142" s="70"/>
      <c r="BY142" s="165"/>
      <c r="BZ142" s="70"/>
      <c r="CA142" s="70"/>
      <c r="CB142" s="70"/>
      <c r="CC142" s="70"/>
      <c r="CD142" s="165"/>
      <c r="CE142" s="70"/>
      <c r="CF142" s="70"/>
      <c r="CG142" s="70"/>
      <c r="CH142" s="70"/>
      <c r="CI142" s="181">
        <f t="shared" ref="CI142" si="383">AA142+AF142+AK142</f>
        <v>225</v>
      </c>
      <c r="CJ142" s="180">
        <f t="shared" ref="CJ142" si="384">AB142+AG142+AL142</f>
        <v>0</v>
      </c>
      <c r="CK142" s="180">
        <f t="shared" ref="CK142" si="385">AC142+AH142+AM142</f>
        <v>0</v>
      </c>
      <c r="CL142" s="180">
        <f t="shared" ref="CL142" si="386">AD142+AI142+AN142</f>
        <v>225</v>
      </c>
      <c r="CM142" s="180">
        <f t="shared" ref="CM142" si="387">AE142+AJ142+AO142</f>
        <v>0</v>
      </c>
      <c r="CN142" s="181">
        <f t="shared" ref="CN142:CR143" si="388">AA142+AF142+AK142+AP142+AU142+AZ142+BE142+BJ142+BO142+BT142+BY142+CD142</f>
        <v>225</v>
      </c>
      <c r="CO142" s="180">
        <f t="shared" si="388"/>
        <v>0</v>
      </c>
      <c r="CP142" s="180">
        <f t="shared" si="388"/>
        <v>0</v>
      </c>
      <c r="CQ142" s="180">
        <f t="shared" si="388"/>
        <v>225</v>
      </c>
      <c r="CR142" s="180">
        <f t="shared" si="388"/>
        <v>0</v>
      </c>
      <c r="CS142" s="273">
        <f>CN142-CO142-CP142-CQ142-CR142</f>
        <v>0</v>
      </c>
      <c r="CT142" s="14"/>
    </row>
    <row r="143" spans="1:98" s="4" customFormat="1" ht="409.5" customHeight="1" x14ac:dyDescent="0.3">
      <c r="A143" s="379" t="s">
        <v>275</v>
      </c>
      <c r="B143" s="343" t="s">
        <v>276</v>
      </c>
      <c r="C143" s="335" t="s">
        <v>277</v>
      </c>
      <c r="D143" s="335" t="s">
        <v>278</v>
      </c>
      <c r="E143" s="333" t="s">
        <v>52</v>
      </c>
      <c r="F143" s="192" t="s">
        <v>279</v>
      </c>
      <c r="G143" s="503" t="s">
        <v>74</v>
      </c>
      <c r="H143" s="533">
        <v>58</v>
      </c>
      <c r="I143" s="503">
        <v>63</v>
      </c>
      <c r="J143" s="631">
        <v>63</v>
      </c>
      <c r="K143" s="519">
        <v>32</v>
      </c>
      <c r="L143" s="631">
        <v>63</v>
      </c>
      <c r="M143" s="704">
        <v>66</v>
      </c>
      <c r="N143" s="598" t="s">
        <v>1536</v>
      </c>
      <c r="O143" s="617"/>
      <c r="P143" s="568"/>
      <c r="Q143" s="332">
        <v>63</v>
      </c>
      <c r="R143" s="335">
        <v>64</v>
      </c>
      <c r="S143" s="335">
        <v>65</v>
      </c>
      <c r="T143" s="335">
        <v>66</v>
      </c>
      <c r="U143" s="335">
        <v>67</v>
      </c>
      <c r="V143" s="335">
        <v>68</v>
      </c>
      <c r="W143" s="335">
        <v>69</v>
      </c>
      <c r="X143" s="335">
        <v>70</v>
      </c>
      <c r="Y143" s="335">
        <v>71</v>
      </c>
      <c r="Z143" s="335">
        <v>72</v>
      </c>
      <c r="AA143" s="165">
        <f>SUM(AB143:AE143)</f>
        <v>12001.2</v>
      </c>
      <c r="AB143" s="164">
        <v>12001.2</v>
      </c>
      <c r="AC143" s="164"/>
      <c r="AD143" s="164"/>
      <c r="AE143" s="164"/>
      <c r="AF143" s="165">
        <f>SUM(AG143:AJ143)</f>
        <v>12001.2</v>
      </c>
      <c r="AG143" s="164">
        <v>12001.2</v>
      </c>
      <c r="AH143" s="70"/>
      <c r="AI143" s="70"/>
      <c r="AJ143" s="70"/>
      <c r="AK143" s="165">
        <f>SUM(AL143:AO143)</f>
        <v>12001.2</v>
      </c>
      <c r="AL143" s="164">
        <v>12001.2</v>
      </c>
      <c r="AM143" s="70"/>
      <c r="AN143" s="70"/>
      <c r="AO143" s="70"/>
      <c r="AP143" s="165">
        <f>SUM(AQ143:AT143)</f>
        <v>12001.2</v>
      </c>
      <c r="AQ143" s="164">
        <v>12001.2</v>
      </c>
      <c r="AR143" s="70"/>
      <c r="AS143" s="70"/>
      <c r="AT143" s="70"/>
      <c r="AU143" s="165">
        <f>SUM(AV143:AY143)</f>
        <v>12001.2</v>
      </c>
      <c r="AV143" s="164">
        <v>12001.2</v>
      </c>
      <c r="AW143" s="70"/>
      <c r="AX143" s="70"/>
      <c r="AY143" s="70"/>
      <c r="AZ143" s="165">
        <f>SUM(BA143:BD143)</f>
        <v>12001.2</v>
      </c>
      <c r="BA143" s="164">
        <v>12001.2</v>
      </c>
      <c r="BB143" s="70"/>
      <c r="BC143" s="70"/>
      <c r="BD143" s="70"/>
      <c r="BE143" s="165">
        <f>SUM(BF143:BI143)</f>
        <v>12001.2</v>
      </c>
      <c r="BF143" s="164">
        <v>12001.2</v>
      </c>
      <c r="BG143" s="70"/>
      <c r="BH143" s="70"/>
      <c r="BI143" s="70"/>
      <c r="BJ143" s="165">
        <f>SUM(BK143:BN143)</f>
        <v>12001.2</v>
      </c>
      <c r="BK143" s="164">
        <v>12001.2</v>
      </c>
      <c r="BL143" s="70"/>
      <c r="BM143" s="70"/>
      <c r="BN143" s="70"/>
      <c r="BO143" s="165">
        <f>SUM(BP143:BS143)</f>
        <v>12001.2</v>
      </c>
      <c r="BP143" s="164">
        <v>12001.2</v>
      </c>
      <c r="BQ143" s="70"/>
      <c r="BR143" s="70"/>
      <c r="BS143" s="70"/>
      <c r="BT143" s="165">
        <f>SUM(BU143:BX143)</f>
        <v>12001.2</v>
      </c>
      <c r="BU143" s="164">
        <v>12001.2</v>
      </c>
      <c r="BV143" s="70"/>
      <c r="BW143" s="70"/>
      <c r="BX143" s="70"/>
      <c r="BY143" s="165">
        <f>SUM(BZ143:CC143)</f>
        <v>12001.2</v>
      </c>
      <c r="BZ143" s="164">
        <v>12001.2</v>
      </c>
      <c r="CA143" s="70"/>
      <c r="CB143" s="70"/>
      <c r="CC143" s="70"/>
      <c r="CD143" s="165">
        <f>SUM(CE143:CH143)</f>
        <v>12001.2</v>
      </c>
      <c r="CE143" s="164">
        <v>12001.2</v>
      </c>
      <c r="CF143" s="70"/>
      <c r="CG143" s="70"/>
      <c r="CH143" s="70"/>
      <c r="CI143" s="181">
        <f t="shared" ref="CI143" si="389">AA143+AF143+AK143</f>
        <v>36003.600000000006</v>
      </c>
      <c r="CJ143" s="180">
        <f t="shared" ref="CJ143" si="390">AB143+AG143+AL143</f>
        <v>36003.600000000006</v>
      </c>
      <c r="CK143" s="180">
        <f t="shared" ref="CK143" si="391">AC143+AH143+AM143</f>
        <v>0</v>
      </c>
      <c r="CL143" s="180">
        <f t="shared" ref="CL143" si="392">AD143+AI143+AN143</f>
        <v>0</v>
      </c>
      <c r="CM143" s="180">
        <f t="shared" ref="CM143" si="393">AE143+AJ143+AO143</f>
        <v>0</v>
      </c>
      <c r="CN143" s="340">
        <f t="shared" si="388"/>
        <v>144014.39999999999</v>
      </c>
      <c r="CO143" s="337">
        <f t="shared" si="388"/>
        <v>144014.39999999999</v>
      </c>
      <c r="CP143" s="337">
        <f t="shared" si="388"/>
        <v>0</v>
      </c>
      <c r="CQ143" s="337">
        <f t="shared" si="388"/>
        <v>0</v>
      </c>
      <c r="CR143" s="337">
        <f t="shared" si="388"/>
        <v>0</v>
      </c>
      <c r="CS143" s="339">
        <f>CN143-CO143-CP143-CQ143-CR143</f>
        <v>0</v>
      </c>
      <c r="CT143" s="14"/>
    </row>
    <row r="144" spans="1:98" x14ac:dyDescent="0.3">
      <c r="A144" s="362" t="s">
        <v>280</v>
      </c>
      <c r="B144" s="813" t="s">
        <v>281</v>
      </c>
      <c r="C144" s="813"/>
      <c r="D144" s="813"/>
      <c r="E144" s="813"/>
      <c r="F144" s="813"/>
      <c r="G144" s="813"/>
      <c r="H144" s="813"/>
      <c r="I144" s="813"/>
      <c r="J144" s="813"/>
      <c r="K144" s="813"/>
      <c r="L144" s="813"/>
      <c r="M144" s="813"/>
      <c r="N144" s="813"/>
      <c r="O144" s="813"/>
      <c r="P144" s="813"/>
      <c r="Q144" s="813"/>
      <c r="R144" s="813"/>
      <c r="S144" s="813"/>
      <c r="T144" s="813"/>
      <c r="U144" s="813"/>
      <c r="V144" s="813"/>
      <c r="W144" s="813"/>
      <c r="X144" s="813"/>
      <c r="Y144" s="813"/>
      <c r="Z144" s="813"/>
      <c r="AA144" s="813"/>
      <c r="AB144" s="813"/>
      <c r="AC144" s="813"/>
      <c r="AD144" s="813"/>
      <c r="AE144" s="813"/>
      <c r="AF144" s="813"/>
      <c r="AG144" s="813"/>
      <c r="AH144" s="813"/>
      <c r="AI144" s="813"/>
      <c r="AJ144" s="813"/>
      <c r="AK144" s="813"/>
      <c r="AL144" s="813"/>
      <c r="AM144" s="813"/>
      <c r="AN144" s="813"/>
      <c r="AO144" s="813"/>
      <c r="AP144" s="813"/>
      <c r="AQ144" s="813"/>
      <c r="AR144" s="813"/>
      <c r="AS144" s="813"/>
      <c r="AT144" s="813"/>
      <c r="AU144" s="813"/>
      <c r="AV144" s="813"/>
      <c r="AW144" s="813"/>
      <c r="AX144" s="813"/>
      <c r="AY144" s="813"/>
      <c r="AZ144" s="813"/>
      <c r="BA144" s="813"/>
      <c r="BB144" s="813"/>
      <c r="BC144" s="813"/>
      <c r="BD144" s="813"/>
      <c r="BE144" s="813"/>
      <c r="BF144" s="813"/>
      <c r="BG144" s="813"/>
      <c r="BH144" s="813"/>
      <c r="BI144" s="813"/>
      <c r="BJ144" s="813"/>
      <c r="BK144" s="813"/>
      <c r="BL144" s="813"/>
      <c r="BM144" s="813"/>
      <c r="BN144" s="813"/>
      <c r="BO144" s="813"/>
      <c r="BP144" s="813"/>
      <c r="BQ144" s="813"/>
      <c r="BR144" s="813"/>
      <c r="BS144" s="813"/>
      <c r="BT144" s="813"/>
      <c r="BU144" s="813"/>
      <c r="BV144" s="813"/>
      <c r="BW144" s="813"/>
      <c r="BX144" s="813"/>
      <c r="BY144" s="813"/>
      <c r="BZ144" s="813"/>
      <c r="CA144" s="813"/>
      <c r="CB144" s="813"/>
      <c r="CC144" s="813"/>
      <c r="CD144" s="813"/>
      <c r="CE144" s="813"/>
      <c r="CF144" s="813"/>
      <c r="CG144" s="813"/>
      <c r="CH144" s="813"/>
      <c r="CI144" s="813"/>
      <c r="CJ144" s="813"/>
      <c r="CK144" s="813"/>
      <c r="CL144" s="813"/>
      <c r="CM144" s="813"/>
      <c r="CN144" s="277">
        <f>CN145</f>
        <v>10759900</v>
      </c>
      <c r="CO144" s="277">
        <f t="shared" ref="CO144:CS144" si="394">CO145</f>
        <v>7500</v>
      </c>
      <c r="CP144" s="277">
        <f t="shared" si="394"/>
        <v>226400</v>
      </c>
      <c r="CQ144" s="277">
        <f t="shared" si="394"/>
        <v>0</v>
      </c>
      <c r="CR144" s="277">
        <f t="shared" si="394"/>
        <v>1660000</v>
      </c>
      <c r="CS144" s="273">
        <f t="shared" si="394"/>
        <v>8866000</v>
      </c>
    </row>
    <row r="145" spans="1:98" s="4" customFormat="1" ht="196.5" customHeight="1" x14ac:dyDescent="0.3">
      <c r="A145" s="862" t="s">
        <v>282</v>
      </c>
      <c r="B145" s="864" t="s">
        <v>283</v>
      </c>
      <c r="C145" s="866" t="s">
        <v>1299</v>
      </c>
      <c r="D145" s="728" t="s">
        <v>284</v>
      </c>
      <c r="E145" s="193" t="s">
        <v>52</v>
      </c>
      <c r="F145" s="192" t="s">
        <v>285</v>
      </c>
      <c r="G145" s="187" t="s">
        <v>286</v>
      </c>
      <c r="H145" s="533">
        <v>728</v>
      </c>
      <c r="I145" s="187">
        <v>450</v>
      </c>
      <c r="J145" s="637">
        <v>450</v>
      </c>
      <c r="K145" s="289">
        <v>387</v>
      </c>
      <c r="L145" s="637">
        <v>1110</v>
      </c>
      <c r="M145" s="643">
        <v>325</v>
      </c>
      <c r="N145" s="598" t="s">
        <v>1537</v>
      </c>
      <c r="O145" s="617" t="s">
        <v>1663</v>
      </c>
      <c r="P145" s="582"/>
      <c r="Q145" s="187">
        <v>1110</v>
      </c>
      <c r="R145" s="187">
        <v>1110</v>
      </c>
      <c r="S145" s="187">
        <v>1110</v>
      </c>
      <c r="T145" s="187">
        <v>1110</v>
      </c>
      <c r="U145" s="187">
        <v>1110</v>
      </c>
      <c r="V145" s="187"/>
      <c r="W145" s="187"/>
      <c r="X145" s="187"/>
      <c r="Y145" s="187"/>
      <c r="Z145" s="187"/>
      <c r="AA145" s="767">
        <f>SUM(AB145:AE146)</f>
        <v>945700</v>
      </c>
      <c r="AB145" s="765">
        <v>2500</v>
      </c>
      <c r="AC145" s="765">
        <v>113200</v>
      </c>
      <c r="AD145" s="765"/>
      <c r="AE145" s="765">
        <v>830000</v>
      </c>
      <c r="AF145" s="767">
        <f>SUM(AG145:AJ146)</f>
        <v>945700</v>
      </c>
      <c r="AG145" s="765">
        <v>2500</v>
      </c>
      <c r="AH145" s="765">
        <v>113200</v>
      </c>
      <c r="AI145" s="765"/>
      <c r="AJ145" s="765">
        <v>830000</v>
      </c>
      <c r="AK145" s="767">
        <v>1775700</v>
      </c>
      <c r="AL145" s="765">
        <v>2500</v>
      </c>
      <c r="AM145" s="765"/>
      <c r="AN145" s="765"/>
      <c r="AO145" s="765"/>
      <c r="AP145" s="767">
        <v>1773200</v>
      </c>
      <c r="AQ145" s="765"/>
      <c r="AR145" s="765"/>
      <c r="AS145" s="765"/>
      <c r="AT145" s="765"/>
      <c r="AU145" s="767">
        <v>1773200</v>
      </c>
      <c r="AV145" s="765"/>
      <c r="AW145" s="765"/>
      <c r="AX145" s="765"/>
      <c r="AY145" s="765"/>
      <c r="AZ145" s="767">
        <v>1773200</v>
      </c>
      <c r="BA145" s="765"/>
      <c r="BB145" s="765"/>
      <c r="BC145" s="765"/>
      <c r="BD145" s="765"/>
      <c r="BE145" s="767">
        <v>1773200</v>
      </c>
      <c r="BF145" s="765"/>
      <c r="BG145" s="765"/>
      <c r="BH145" s="765"/>
      <c r="BI145" s="765"/>
      <c r="BJ145" s="767"/>
      <c r="BK145" s="765"/>
      <c r="BL145" s="765"/>
      <c r="BM145" s="765"/>
      <c r="BN145" s="765"/>
      <c r="BO145" s="767"/>
      <c r="BP145" s="765"/>
      <c r="BQ145" s="765"/>
      <c r="BR145" s="765"/>
      <c r="BS145" s="765"/>
      <c r="BT145" s="767"/>
      <c r="BU145" s="765"/>
      <c r="BV145" s="765"/>
      <c r="BW145" s="765"/>
      <c r="BX145" s="765"/>
      <c r="BY145" s="767"/>
      <c r="BZ145" s="765"/>
      <c r="CA145" s="765"/>
      <c r="CB145" s="765"/>
      <c r="CC145" s="765"/>
      <c r="CD145" s="767"/>
      <c r="CE145" s="765"/>
      <c r="CF145" s="765"/>
      <c r="CG145" s="765"/>
      <c r="CH145" s="765"/>
      <c r="CI145" s="773">
        <f>AA145+AF145+AK145</f>
        <v>3667100</v>
      </c>
      <c r="CJ145" s="791">
        <f>AB145+AG145+AL145</f>
        <v>7500</v>
      </c>
      <c r="CK145" s="791">
        <f t="shared" ref="CK145" si="395">AC145+AH145+AM145</f>
        <v>226400</v>
      </c>
      <c r="CL145" s="791">
        <f t="shared" ref="CL145" si="396">AD145+AI145+AN145</f>
        <v>0</v>
      </c>
      <c r="CM145" s="791">
        <f t="shared" ref="CM145" si="397">AE145+AJ145+AO145</f>
        <v>1660000</v>
      </c>
      <c r="CN145" s="773">
        <f>AA145+AF145+AK145+AP145+AU145+AZ145+BE145+BJ145+BO145+BT145+BY145+CD145</f>
        <v>10759900</v>
      </c>
      <c r="CO145" s="791">
        <f>AB145+AG145+AL145+AQ145+AV145+BA145+BF145+BK145+BP145+BU145+BZ145+CE145</f>
        <v>7500</v>
      </c>
      <c r="CP145" s="791">
        <f>AC145+AH145+AM145+AR145+AW145+BB145+BG145+BL145+BQ145+BV145+CA145+CF145</f>
        <v>226400</v>
      </c>
      <c r="CQ145" s="791">
        <f>AD145+AI145+AN145+AS145+AX145+BC145+BH145+BM145+BR145+BW145+CB145+CG145</f>
        <v>0</v>
      </c>
      <c r="CR145" s="791">
        <f>AE145+AJ145+AO145+AT145+AY145+BD145+BI145+BN145+BS145+BX145+CC145+CH145</f>
        <v>1660000</v>
      </c>
      <c r="CS145" s="775">
        <f>CN145-CO145-CP145-CQ145-CR145</f>
        <v>8866000</v>
      </c>
      <c r="CT145" s="14"/>
    </row>
    <row r="146" spans="1:98" s="4" customFormat="1" ht="184.5" customHeight="1" x14ac:dyDescent="0.3">
      <c r="A146" s="863"/>
      <c r="B146" s="865"/>
      <c r="C146" s="865"/>
      <c r="D146" s="892"/>
      <c r="E146" s="193" t="s">
        <v>52</v>
      </c>
      <c r="F146" s="74" t="s">
        <v>287</v>
      </c>
      <c r="G146" s="193" t="s">
        <v>288</v>
      </c>
      <c r="H146" s="528">
        <v>372</v>
      </c>
      <c r="I146" s="50">
        <v>250</v>
      </c>
      <c r="J146" s="630">
        <v>250</v>
      </c>
      <c r="K146" s="286">
        <v>138</v>
      </c>
      <c r="L146" s="630">
        <v>250</v>
      </c>
      <c r="M146" s="702">
        <v>82</v>
      </c>
      <c r="N146" s="598" t="s">
        <v>1748</v>
      </c>
      <c r="O146" s="617" t="s">
        <v>1748</v>
      </c>
      <c r="P146" s="582"/>
      <c r="Q146" s="50">
        <v>250</v>
      </c>
      <c r="R146" s="50">
        <v>500</v>
      </c>
      <c r="S146" s="50">
        <v>500</v>
      </c>
      <c r="T146" s="50">
        <v>500</v>
      </c>
      <c r="U146" s="50">
        <v>500</v>
      </c>
      <c r="V146" s="50"/>
      <c r="W146" s="50"/>
      <c r="X146" s="50"/>
      <c r="Y146" s="50"/>
      <c r="Z146" s="50"/>
      <c r="AA146" s="768"/>
      <c r="AB146" s="766"/>
      <c r="AC146" s="766"/>
      <c r="AD146" s="766"/>
      <c r="AE146" s="766"/>
      <c r="AF146" s="768"/>
      <c r="AG146" s="766"/>
      <c r="AH146" s="766"/>
      <c r="AI146" s="766"/>
      <c r="AJ146" s="766"/>
      <c r="AK146" s="768"/>
      <c r="AL146" s="766"/>
      <c r="AM146" s="766"/>
      <c r="AN146" s="766"/>
      <c r="AO146" s="766"/>
      <c r="AP146" s="768"/>
      <c r="AQ146" s="766"/>
      <c r="AR146" s="766"/>
      <c r="AS146" s="766"/>
      <c r="AT146" s="766"/>
      <c r="AU146" s="768"/>
      <c r="AV146" s="766"/>
      <c r="AW146" s="766"/>
      <c r="AX146" s="766"/>
      <c r="AY146" s="766"/>
      <c r="AZ146" s="768"/>
      <c r="BA146" s="766"/>
      <c r="BB146" s="766"/>
      <c r="BC146" s="766"/>
      <c r="BD146" s="766"/>
      <c r="BE146" s="768"/>
      <c r="BF146" s="766"/>
      <c r="BG146" s="766"/>
      <c r="BH146" s="766"/>
      <c r="BI146" s="766"/>
      <c r="BJ146" s="768"/>
      <c r="BK146" s="766"/>
      <c r="BL146" s="766"/>
      <c r="BM146" s="766"/>
      <c r="BN146" s="766"/>
      <c r="BO146" s="768"/>
      <c r="BP146" s="766"/>
      <c r="BQ146" s="766"/>
      <c r="BR146" s="766"/>
      <c r="BS146" s="766"/>
      <c r="BT146" s="768"/>
      <c r="BU146" s="766"/>
      <c r="BV146" s="766"/>
      <c r="BW146" s="766"/>
      <c r="BX146" s="766"/>
      <c r="BY146" s="768"/>
      <c r="BZ146" s="766"/>
      <c r="CA146" s="766"/>
      <c r="CB146" s="766"/>
      <c r="CC146" s="766"/>
      <c r="CD146" s="768"/>
      <c r="CE146" s="766"/>
      <c r="CF146" s="766"/>
      <c r="CG146" s="766"/>
      <c r="CH146" s="766"/>
      <c r="CI146" s="774"/>
      <c r="CJ146" s="792"/>
      <c r="CK146" s="792"/>
      <c r="CL146" s="792"/>
      <c r="CM146" s="792"/>
      <c r="CN146" s="774"/>
      <c r="CO146" s="792"/>
      <c r="CP146" s="792"/>
      <c r="CQ146" s="792"/>
      <c r="CR146" s="792"/>
      <c r="CS146" s="776"/>
      <c r="CT146" s="14"/>
    </row>
    <row r="147" spans="1:98" x14ac:dyDescent="0.3">
      <c r="A147" s="362" t="s">
        <v>289</v>
      </c>
      <c r="B147" s="813" t="s">
        <v>290</v>
      </c>
      <c r="C147" s="813"/>
      <c r="D147" s="813"/>
      <c r="E147" s="813"/>
      <c r="F147" s="813"/>
      <c r="G147" s="813"/>
      <c r="H147" s="813"/>
      <c r="I147" s="813"/>
      <c r="J147" s="813"/>
      <c r="K147" s="813"/>
      <c r="L147" s="813"/>
      <c r="M147" s="813"/>
      <c r="N147" s="813"/>
      <c r="O147" s="813"/>
      <c r="P147" s="813"/>
      <c r="Q147" s="813"/>
      <c r="R147" s="813"/>
      <c r="S147" s="813"/>
      <c r="T147" s="813"/>
      <c r="U147" s="813"/>
      <c r="V147" s="813"/>
      <c r="W147" s="813"/>
      <c r="X147" s="813"/>
      <c r="Y147" s="813"/>
      <c r="Z147" s="813"/>
      <c r="AA147" s="813"/>
      <c r="AB147" s="813"/>
      <c r="AC147" s="813"/>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3"/>
      <c r="AY147" s="813"/>
      <c r="AZ147" s="813"/>
      <c r="BA147" s="813"/>
      <c r="BB147" s="813"/>
      <c r="BC147" s="813"/>
      <c r="BD147" s="813"/>
      <c r="BE147" s="813"/>
      <c r="BF147" s="813"/>
      <c r="BG147" s="813"/>
      <c r="BH147" s="813"/>
      <c r="BI147" s="813"/>
      <c r="BJ147" s="813"/>
      <c r="BK147" s="813"/>
      <c r="BL147" s="813"/>
      <c r="BM147" s="813"/>
      <c r="BN147" s="813"/>
      <c r="BO147" s="813"/>
      <c r="BP147" s="813"/>
      <c r="BQ147" s="813"/>
      <c r="BR147" s="813"/>
      <c r="BS147" s="813"/>
      <c r="BT147" s="813"/>
      <c r="BU147" s="813"/>
      <c r="BV147" s="813"/>
      <c r="BW147" s="813"/>
      <c r="BX147" s="813"/>
      <c r="BY147" s="813"/>
      <c r="BZ147" s="813"/>
      <c r="CA147" s="813"/>
      <c r="CB147" s="813"/>
      <c r="CC147" s="813"/>
      <c r="CD147" s="813"/>
      <c r="CE147" s="813"/>
      <c r="CF147" s="813"/>
      <c r="CG147" s="813"/>
      <c r="CH147" s="813"/>
      <c r="CI147" s="813"/>
      <c r="CJ147" s="813"/>
      <c r="CK147" s="813"/>
      <c r="CL147" s="813"/>
      <c r="CM147" s="813"/>
      <c r="CN147" s="277">
        <f>CN148+CN149+CN150+CN151</f>
        <v>0</v>
      </c>
      <c r="CO147" s="277">
        <f t="shared" ref="CO147:CS147" si="398">CO148+CO149+CO150+CO151</f>
        <v>0</v>
      </c>
      <c r="CP147" s="277">
        <f t="shared" si="398"/>
        <v>0</v>
      </c>
      <c r="CQ147" s="277">
        <f t="shared" si="398"/>
        <v>0</v>
      </c>
      <c r="CR147" s="277">
        <f t="shared" si="398"/>
        <v>0</v>
      </c>
      <c r="CS147" s="273">
        <f t="shared" si="398"/>
        <v>0</v>
      </c>
    </row>
    <row r="148" spans="1:98" s="4" customFormat="1" ht="288" x14ac:dyDescent="0.3">
      <c r="A148" s="504" t="s">
        <v>291</v>
      </c>
      <c r="B148" s="506" t="s">
        <v>292</v>
      </c>
      <c r="C148" s="506" t="s">
        <v>1300</v>
      </c>
      <c r="D148" s="503" t="s">
        <v>122</v>
      </c>
      <c r="E148" s="476" t="s">
        <v>52</v>
      </c>
      <c r="F148" s="481" t="s">
        <v>293</v>
      </c>
      <c r="G148" s="503" t="s">
        <v>74</v>
      </c>
      <c r="H148" s="527"/>
      <c r="I148" s="76">
        <v>11579</v>
      </c>
      <c r="J148" s="76"/>
      <c r="K148" s="76">
        <v>11579</v>
      </c>
      <c r="L148" s="76"/>
      <c r="M148" s="659">
        <v>11600</v>
      </c>
      <c r="N148" s="598" t="s">
        <v>1538</v>
      </c>
      <c r="O148" s="617"/>
      <c r="P148" s="557"/>
      <c r="Q148" s="76"/>
      <c r="R148" s="76"/>
      <c r="S148" s="76"/>
      <c r="T148" s="76"/>
      <c r="U148" s="76"/>
      <c r="V148" s="76"/>
      <c r="W148" s="76"/>
      <c r="X148" s="76"/>
      <c r="Y148" s="76"/>
      <c r="Z148" s="76"/>
      <c r="AA148" s="494"/>
      <c r="AB148" s="70"/>
      <c r="AC148" s="70"/>
      <c r="AD148" s="70"/>
      <c r="AE148" s="70"/>
      <c r="AF148" s="494"/>
      <c r="AG148" s="70"/>
      <c r="AH148" s="70"/>
      <c r="AI148" s="70"/>
      <c r="AJ148" s="70"/>
      <c r="AK148" s="494"/>
      <c r="AL148" s="70"/>
      <c r="AM148" s="70"/>
      <c r="AN148" s="70"/>
      <c r="AO148" s="70"/>
      <c r="AP148" s="494"/>
      <c r="AQ148" s="70"/>
      <c r="AR148" s="70"/>
      <c r="AS148" s="70"/>
      <c r="AT148" s="70"/>
      <c r="AU148" s="494"/>
      <c r="AV148" s="70"/>
      <c r="AW148" s="70"/>
      <c r="AX148" s="70"/>
      <c r="AY148" s="70"/>
      <c r="AZ148" s="494"/>
      <c r="BA148" s="70"/>
      <c r="BB148" s="70"/>
      <c r="BC148" s="70"/>
      <c r="BD148" s="70"/>
      <c r="BE148" s="494"/>
      <c r="BF148" s="70"/>
      <c r="BG148" s="70"/>
      <c r="BH148" s="70"/>
      <c r="BI148" s="70"/>
      <c r="BJ148" s="494"/>
      <c r="BK148" s="70"/>
      <c r="BL148" s="70"/>
      <c r="BM148" s="70"/>
      <c r="BN148" s="70"/>
      <c r="BO148" s="494"/>
      <c r="BP148" s="70"/>
      <c r="BQ148" s="70"/>
      <c r="BR148" s="70"/>
      <c r="BS148" s="70"/>
      <c r="BT148" s="494"/>
      <c r="BU148" s="70"/>
      <c r="BV148" s="70"/>
      <c r="BW148" s="70"/>
      <c r="BX148" s="70"/>
      <c r="BY148" s="494"/>
      <c r="BZ148" s="70"/>
      <c r="CA148" s="70"/>
      <c r="CB148" s="70"/>
      <c r="CC148" s="70"/>
      <c r="CD148" s="494"/>
      <c r="CE148" s="70"/>
      <c r="CF148" s="70"/>
      <c r="CG148" s="70"/>
      <c r="CH148" s="70"/>
      <c r="CI148" s="501">
        <f t="shared" ref="CI148" si="399">AA148+AF148+AK148</f>
        <v>0</v>
      </c>
      <c r="CJ148" s="492">
        <f t="shared" ref="CJ148" si="400">AB148+AG148+AL148</f>
        <v>0</v>
      </c>
      <c r="CK148" s="492">
        <f t="shared" ref="CK148" si="401">AC148+AH148+AM148</f>
        <v>0</v>
      </c>
      <c r="CL148" s="492">
        <f t="shared" ref="CL148" si="402">AD148+AI148+AN148</f>
        <v>0</v>
      </c>
      <c r="CM148" s="492">
        <f t="shared" ref="CM148" si="403">AE148+AJ148+AO148</f>
        <v>0</v>
      </c>
      <c r="CN148" s="501">
        <f t="shared" ref="CN148:CR151" si="404">AA148+AF148+AK148+AP148+AU148+AZ148+BE148+BJ148+BO148+BT148+BY148+CD148</f>
        <v>0</v>
      </c>
      <c r="CO148" s="492">
        <f t="shared" si="404"/>
        <v>0</v>
      </c>
      <c r="CP148" s="492">
        <f t="shared" si="404"/>
        <v>0</v>
      </c>
      <c r="CQ148" s="492">
        <f t="shared" si="404"/>
        <v>0</v>
      </c>
      <c r="CR148" s="492">
        <f t="shared" si="404"/>
        <v>0</v>
      </c>
      <c r="CS148" s="501">
        <f>CN148-CO148-CP148-CQ148-CR148</f>
        <v>0</v>
      </c>
      <c r="CT148" s="14"/>
    </row>
    <row r="149" spans="1:98" s="4" customFormat="1" ht="192" x14ac:dyDescent="0.3">
      <c r="A149" s="190" t="s">
        <v>294</v>
      </c>
      <c r="B149" s="188" t="s">
        <v>1032</v>
      </c>
      <c r="C149" s="188" t="s">
        <v>1301</v>
      </c>
      <c r="D149" s="193" t="s">
        <v>295</v>
      </c>
      <c r="E149" s="193" t="s">
        <v>273</v>
      </c>
      <c r="F149" s="192" t="s">
        <v>296</v>
      </c>
      <c r="G149" s="187" t="s">
        <v>117</v>
      </c>
      <c r="H149" s="527"/>
      <c r="I149" s="187" t="s">
        <v>118</v>
      </c>
      <c r="J149" s="637" t="s">
        <v>118</v>
      </c>
      <c r="K149" s="289" t="s">
        <v>118</v>
      </c>
      <c r="L149" s="637" t="s">
        <v>118</v>
      </c>
      <c r="M149" s="643" t="s">
        <v>118</v>
      </c>
      <c r="N149" s="598" t="s">
        <v>1539</v>
      </c>
      <c r="O149" s="617" t="s">
        <v>1749</v>
      </c>
      <c r="P149" s="557"/>
      <c r="Q149" s="187"/>
      <c r="R149" s="187"/>
      <c r="S149" s="187"/>
      <c r="T149" s="187"/>
      <c r="U149" s="187"/>
      <c r="V149" s="187"/>
      <c r="W149" s="187"/>
      <c r="X149" s="187"/>
      <c r="Y149" s="187"/>
      <c r="Z149" s="187"/>
      <c r="AA149" s="165"/>
      <c r="AB149" s="164"/>
      <c r="AC149" s="164"/>
      <c r="AD149" s="164"/>
      <c r="AE149" s="164"/>
      <c r="AF149" s="165"/>
      <c r="AG149" s="70"/>
      <c r="AH149" s="70"/>
      <c r="AI149" s="70"/>
      <c r="AJ149" s="70"/>
      <c r="AK149" s="165"/>
      <c r="AL149" s="70"/>
      <c r="AM149" s="70"/>
      <c r="AN149" s="70"/>
      <c r="AO149" s="70"/>
      <c r="AP149" s="165"/>
      <c r="AQ149" s="70"/>
      <c r="AR149" s="70"/>
      <c r="AS149" s="70"/>
      <c r="AT149" s="70"/>
      <c r="AU149" s="165"/>
      <c r="AV149" s="164"/>
      <c r="AW149" s="164"/>
      <c r="AX149" s="164"/>
      <c r="AY149" s="164"/>
      <c r="AZ149" s="165"/>
      <c r="BA149" s="164"/>
      <c r="BB149" s="70"/>
      <c r="BC149" s="70"/>
      <c r="BD149" s="70"/>
      <c r="BE149" s="165"/>
      <c r="BF149" s="70"/>
      <c r="BG149" s="70"/>
      <c r="BH149" s="70"/>
      <c r="BI149" s="70"/>
      <c r="BJ149" s="165"/>
      <c r="BK149" s="70"/>
      <c r="BL149" s="70"/>
      <c r="BM149" s="70"/>
      <c r="BN149" s="70"/>
      <c r="BO149" s="165"/>
      <c r="BP149" s="70"/>
      <c r="BQ149" s="70"/>
      <c r="BR149" s="70"/>
      <c r="BS149" s="70"/>
      <c r="BT149" s="165"/>
      <c r="BU149" s="70"/>
      <c r="BV149" s="70"/>
      <c r="BW149" s="70"/>
      <c r="BX149" s="70"/>
      <c r="BY149" s="165"/>
      <c r="BZ149" s="70"/>
      <c r="CA149" s="70"/>
      <c r="CB149" s="70"/>
      <c r="CC149" s="70"/>
      <c r="CD149" s="165"/>
      <c r="CE149" s="70"/>
      <c r="CF149" s="70"/>
      <c r="CG149" s="70"/>
      <c r="CH149" s="70"/>
      <c r="CI149" s="181">
        <f t="shared" ref="CI149:CI151" si="405">AA149+AF149+AK149</f>
        <v>0</v>
      </c>
      <c r="CJ149" s="180">
        <f t="shared" ref="CJ149:CJ151" si="406">AB149+AG149+AL149</f>
        <v>0</v>
      </c>
      <c r="CK149" s="180">
        <f t="shared" ref="CK149:CK151" si="407">AC149+AH149+AM149</f>
        <v>0</v>
      </c>
      <c r="CL149" s="180">
        <f t="shared" ref="CL149:CL151" si="408">AD149+AI149+AN149</f>
        <v>0</v>
      </c>
      <c r="CM149" s="180">
        <f t="shared" ref="CM149:CM151" si="409">AE149+AJ149+AO149</f>
        <v>0</v>
      </c>
      <c r="CN149" s="181">
        <f t="shared" si="404"/>
        <v>0</v>
      </c>
      <c r="CO149" s="180">
        <f t="shared" si="404"/>
        <v>0</v>
      </c>
      <c r="CP149" s="180">
        <f t="shared" si="404"/>
        <v>0</v>
      </c>
      <c r="CQ149" s="180">
        <f t="shared" si="404"/>
        <v>0</v>
      </c>
      <c r="CR149" s="180">
        <f t="shared" si="404"/>
        <v>0</v>
      </c>
      <c r="CS149" s="273">
        <f t="shared" ref="CS149:CS150" si="410">CN149-CO149-CP149-CQ149-CR149</f>
        <v>0</v>
      </c>
      <c r="CT149" s="14"/>
    </row>
    <row r="150" spans="1:98" s="4" customFormat="1" ht="120" x14ac:dyDescent="0.3">
      <c r="A150" s="190" t="s">
        <v>297</v>
      </c>
      <c r="B150" s="188" t="s">
        <v>298</v>
      </c>
      <c r="C150" s="188" t="s">
        <v>1302</v>
      </c>
      <c r="D150" s="193" t="s">
        <v>295</v>
      </c>
      <c r="E150" s="187" t="s">
        <v>52</v>
      </c>
      <c r="F150" s="192" t="s">
        <v>299</v>
      </c>
      <c r="G150" s="187" t="s">
        <v>117</v>
      </c>
      <c r="H150" s="527"/>
      <c r="I150" s="187" t="s">
        <v>118</v>
      </c>
      <c r="J150" s="637" t="s">
        <v>118</v>
      </c>
      <c r="K150" s="289" t="s">
        <v>118</v>
      </c>
      <c r="L150" s="637" t="s">
        <v>118</v>
      </c>
      <c r="M150" s="643" t="s">
        <v>118</v>
      </c>
      <c r="N150" s="601"/>
      <c r="O150" s="518"/>
      <c r="P150" s="445"/>
      <c r="Q150" s="187" t="s">
        <v>118</v>
      </c>
      <c r="R150" s="187" t="s">
        <v>118</v>
      </c>
      <c r="S150" s="187" t="s">
        <v>118</v>
      </c>
      <c r="T150" s="187" t="s">
        <v>118</v>
      </c>
      <c r="U150" s="187" t="s">
        <v>118</v>
      </c>
      <c r="V150" s="187" t="s">
        <v>118</v>
      </c>
      <c r="W150" s="187" t="s">
        <v>118</v>
      </c>
      <c r="X150" s="187" t="s">
        <v>118</v>
      </c>
      <c r="Y150" s="187" t="s">
        <v>118</v>
      </c>
      <c r="Z150" s="187" t="s">
        <v>118</v>
      </c>
      <c r="AA150" s="165"/>
      <c r="AB150" s="164"/>
      <c r="AC150" s="164"/>
      <c r="AD150" s="164"/>
      <c r="AE150" s="164"/>
      <c r="AF150" s="165"/>
      <c r="AG150" s="70"/>
      <c r="AH150" s="70"/>
      <c r="AI150" s="70"/>
      <c r="AJ150" s="70"/>
      <c r="AK150" s="165"/>
      <c r="AL150" s="70"/>
      <c r="AM150" s="70"/>
      <c r="AN150" s="70"/>
      <c r="AO150" s="70"/>
      <c r="AP150" s="165"/>
      <c r="AQ150" s="70"/>
      <c r="AR150" s="70"/>
      <c r="AS150" s="70"/>
      <c r="AT150" s="70"/>
      <c r="AU150" s="165"/>
      <c r="AV150" s="164"/>
      <c r="AW150" s="164"/>
      <c r="AX150" s="164"/>
      <c r="AY150" s="164"/>
      <c r="AZ150" s="165"/>
      <c r="BA150" s="164"/>
      <c r="BB150" s="70"/>
      <c r="BC150" s="70"/>
      <c r="BD150" s="70"/>
      <c r="BE150" s="165"/>
      <c r="BF150" s="70"/>
      <c r="BG150" s="70"/>
      <c r="BH150" s="70"/>
      <c r="BI150" s="70"/>
      <c r="BJ150" s="165"/>
      <c r="BK150" s="70"/>
      <c r="BL150" s="70"/>
      <c r="BM150" s="70"/>
      <c r="BN150" s="70"/>
      <c r="BO150" s="165"/>
      <c r="BP150" s="70"/>
      <c r="BQ150" s="70"/>
      <c r="BR150" s="70"/>
      <c r="BS150" s="70"/>
      <c r="BT150" s="165"/>
      <c r="BU150" s="70"/>
      <c r="BV150" s="70"/>
      <c r="BW150" s="70"/>
      <c r="BX150" s="70"/>
      <c r="BY150" s="165"/>
      <c r="BZ150" s="70"/>
      <c r="CA150" s="70"/>
      <c r="CB150" s="70"/>
      <c r="CC150" s="70"/>
      <c r="CD150" s="165"/>
      <c r="CE150" s="70"/>
      <c r="CF150" s="70"/>
      <c r="CG150" s="70"/>
      <c r="CH150" s="70"/>
      <c r="CI150" s="181">
        <f t="shared" si="405"/>
        <v>0</v>
      </c>
      <c r="CJ150" s="180">
        <f t="shared" si="406"/>
        <v>0</v>
      </c>
      <c r="CK150" s="180">
        <f t="shared" si="407"/>
        <v>0</v>
      </c>
      <c r="CL150" s="180">
        <f t="shared" si="408"/>
        <v>0</v>
      </c>
      <c r="CM150" s="180">
        <f t="shared" si="409"/>
        <v>0</v>
      </c>
      <c r="CN150" s="181">
        <f t="shared" si="404"/>
        <v>0</v>
      </c>
      <c r="CO150" s="180">
        <f t="shared" si="404"/>
        <v>0</v>
      </c>
      <c r="CP150" s="180">
        <f t="shared" si="404"/>
        <v>0</v>
      </c>
      <c r="CQ150" s="180">
        <f t="shared" si="404"/>
        <v>0</v>
      </c>
      <c r="CR150" s="180">
        <f t="shared" si="404"/>
        <v>0</v>
      </c>
      <c r="CS150" s="273">
        <f t="shared" si="410"/>
        <v>0</v>
      </c>
      <c r="CT150" s="14"/>
    </row>
    <row r="151" spans="1:98" s="4" customFormat="1" ht="144" x14ac:dyDescent="0.3">
      <c r="A151" s="190" t="s">
        <v>300</v>
      </c>
      <c r="B151" s="188" t="s">
        <v>301</v>
      </c>
      <c r="C151" s="188" t="s">
        <v>1303</v>
      </c>
      <c r="D151" s="193" t="s">
        <v>295</v>
      </c>
      <c r="E151" s="193">
        <v>2019</v>
      </c>
      <c r="F151" s="192" t="s">
        <v>302</v>
      </c>
      <c r="G151" s="187" t="s">
        <v>117</v>
      </c>
      <c r="H151" s="527"/>
      <c r="I151" s="187" t="s">
        <v>118</v>
      </c>
      <c r="J151" s="637"/>
      <c r="K151" s="289" t="s">
        <v>118</v>
      </c>
      <c r="L151" s="637"/>
      <c r="M151" s="643" t="s">
        <v>1472</v>
      </c>
      <c r="N151" s="597"/>
      <c r="O151" s="617" t="s">
        <v>1629</v>
      </c>
      <c r="P151" s="444"/>
      <c r="Q151" s="187"/>
      <c r="R151" s="187"/>
      <c r="S151" s="187"/>
      <c r="T151" s="187"/>
      <c r="U151" s="187"/>
      <c r="V151" s="187"/>
      <c r="W151" s="187"/>
      <c r="X151" s="187"/>
      <c r="Y151" s="187"/>
      <c r="Z151" s="187"/>
      <c r="AA151" s="165"/>
      <c r="AB151" s="164"/>
      <c r="AC151" s="164"/>
      <c r="AD151" s="164"/>
      <c r="AE151" s="164"/>
      <c r="AF151" s="165"/>
      <c r="AG151" s="70"/>
      <c r="AH151" s="70"/>
      <c r="AI151" s="70"/>
      <c r="AJ151" s="70"/>
      <c r="AK151" s="165"/>
      <c r="AL151" s="70"/>
      <c r="AM151" s="70"/>
      <c r="AN151" s="70"/>
      <c r="AO151" s="70"/>
      <c r="AP151" s="165"/>
      <c r="AQ151" s="70"/>
      <c r="AR151" s="70"/>
      <c r="AS151" s="70"/>
      <c r="AT151" s="70"/>
      <c r="AU151" s="165"/>
      <c r="AV151" s="164"/>
      <c r="AW151" s="164"/>
      <c r="AX151" s="164"/>
      <c r="AY151" s="164"/>
      <c r="AZ151" s="165"/>
      <c r="BA151" s="164"/>
      <c r="BB151" s="70"/>
      <c r="BC151" s="70"/>
      <c r="BD151" s="70"/>
      <c r="BE151" s="165"/>
      <c r="BF151" s="70"/>
      <c r="BG151" s="70"/>
      <c r="BH151" s="70"/>
      <c r="BI151" s="70"/>
      <c r="BJ151" s="165"/>
      <c r="BK151" s="70"/>
      <c r="BL151" s="70"/>
      <c r="BM151" s="70"/>
      <c r="BN151" s="70"/>
      <c r="BO151" s="165"/>
      <c r="BP151" s="70"/>
      <c r="BQ151" s="70"/>
      <c r="BR151" s="70"/>
      <c r="BS151" s="70"/>
      <c r="BT151" s="165"/>
      <c r="BU151" s="70"/>
      <c r="BV151" s="70"/>
      <c r="BW151" s="70"/>
      <c r="BX151" s="70"/>
      <c r="BY151" s="165"/>
      <c r="BZ151" s="70"/>
      <c r="CA151" s="70"/>
      <c r="CB151" s="70"/>
      <c r="CC151" s="70"/>
      <c r="CD151" s="165"/>
      <c r="CE151" s="70"/>
      <c r="CF151" s="70"/>
      <c r="CG151" s="70"/>
      <c r="CH151" s="70"/>
      <c r="CI151" s="181">
        <f t="shared" si="405"/>
        <v>0</v>
      </c>
      <c r="CJ151" s="180">
        <f t="shared" si="406"/>
        <v>0</v>
      </c>
      <c r="CK151" s="180">
        <f t="shared" si="407"/>
        <v>0</v>
      </c>
      <c r="CL151" s="180">
        <f t="shared" si="408"/>
        <v>0</v>
      </c>
      <c r="CM151" s="180">
        <f t="shared" si="409"/>
        <v>0</v>
      </c>
      <c r="CN151" s="181">
        <f t="shared" si="404"/>
        <v>0</v>
      </c>
      <c r="CO151" s="180">
        <f t="shared" si="404"/>
        <v>0</v>
      </c>
      <c r="CP151" s="180">
        <f t="shared" si="404"/>
        <v>0</v>
      </c>
      <c r="CQ151" s="180">
        <f t="shared" si="404"/>
        <v>0</v>
      </c>
      <c r="CR151" s="180">
        <f t="shared" si="404"/>
        <v>0</v>
      </c>
      <c r="CS151" s="273">
        <f>CN151-CO151-CP151-CQ151-CR151</f>
        <v>0</v>
      </c>
      <c r="CT151" s="14"/>
    </row>
    <row r="152" spans="1:98" x14ac:dyDescent="0.3">
      <c r="A152" s="362" t="s">
        <v>303</v>
      </c>
      <c r="B152" s="813" t="s">
        <v>304</v>
      </c>
      <c r="C152" s="813"/>
      <c r="D152" s="813"/>
      <c r="E152" s="813"/>
      <c r="F152" s="813"/>
      <c r="G152" s="813"/>
      <c r="H152" s="813"/>
      <c r="I152" s="813"/>
      <c r="J152" s="813"/>
      <c r="K152" s="813"/>
      <c r="L152" s="813"/>
      <c r="M152" s="813"/>
      <c r="N152" s="813"/>
      <c r="O152" s="813"/>
      <c r="P152" s="813"/>
      <c r="Q152" s="813"/>
      <c r="R152" s="813"/>
      <c r="S152" s="813"/>
      <c r="T152" s="813"/>
      <c r="U152" s="813"/>
      <c r="V152" s="813"/>
      <c r="W152" s="813"/>
      <c r="X152" s="813"/>
      <c r="Y152" s="813"/>
      <c r="Z152" s="813"/>
      <c r="AA152" s="813"/>
      <c r="AB152" s="813"/>
      <c r="AC152" s="813"/>
      <c r="AD152" s="813"/>
      <c r="AE152" s="813"/>
      <c r="AF152" s="813"/>
      <c r="AG152" s="813"/>
      <c r="AH152" s="813"/>
      <c r="AI152" s="813"/>
      <c r="AJ152" s="813"/>
      <c r="AK152" s="813"/>
      <c r="AL152" s="813"/>
      <c r="AM152" s="813"/>
      <c r="AN152" s="813"/>
      <c r="AO152" s="813"/>
      <c r="AP152" s="813"/>
      <c r="AQ152" s="813"/>
      <c r="AR152" s="813"/>
      <c r="AS152" s="813"/>
      <c r="AT152" s="813"/>
      <c r="AU152" s="813"/>
      <c r="AV152" s="813"/>
      <c r="AW152" s="813"/>
      <c r="AX152" s="813"/>
      <c r="AY152" s="813"/>
      <c r="AZ152" s="813"/>
      <c r="BA152" s="813"/>
      <c r="BB152" s="813"/>
      <c r="BC152" s="813"/>
      <c r="BD152" s="813"/>
      <c r="BE152" s="813"/>
      <c r="BF152" s="813"/>
      <c r="BG152" s="813"/>
      <c r="BH152" s="813"/>
      <c r="BI152" s="813"/>
      <c r="BJ152" s="813"/>
      <c r="BK152" s="813"/>
      <c r="BL152" s="813"/>
      <c r="BM152" s="813"/>
      <c r="BN152" s="813"/>
      <c r="BO152" s="813"/>
      <c r="BP152" s="813"/>
      <c r="BQ152" s="813"/>
      <c r="BR152" s="813"/>
      <c r="BS152" s="813"/>
      <c r="BT152" s="813"/>
      <c r="BU152" s="813"/>
      <c r="BV152" s="813"/>
      <c r="BW152" s="813"/>
      <c r="BX152" s="813"/>
      <c r="BY152" s="813"/>
      <c r="BZ152" s="813"/>
      <c r="CA152" s="813"/>
      <c r="CB152" s="813"/>
      <c r="CC152" s="813"/>
      <c r="CD152" s="813"/>
      <c r="CE152" s="813"/>
      <c r="CF152" s="813"/>
      <c r="CG152" s="813"/>
      <c r="CH152" s="813"/>
      <c r="CI152" s="813"/>
      <c r="CJ152" s="813"/>
      <c r="CK152" s="813"/>
      <c r="CL152" s="813"/>
      <c r="CM152" s="813"/>
      <c r="CN152" s="277">
        <f>CN153+CN154++CN155+CN156+CN157+CN158+CN159</f>
        <v>97915.89999999998</v>
      </c>
      <c r="CO152" s="277">
        <f t="shared" ref="CO152:CS152" si="411">CO153+CO154++CO155+CO156+CO157+CO158+CO159</f>
        <v>95038.799999999988</v>
      </c>
      <c r="CP152" s="277">
        <f t="shared" si="411"/>
        <v>2877.1000000000004</v>
      </c>
      <c r="CQ152" s="277">
        <f t="shared" si="411"/>
        <v>0</v>
      </c>
      <c r="CR152" s="277">
        <f t="shared" si="411"/>
        <v>0</v>
      </c>
      <c r="CS152" s="273">
        <f t="shared" si="411"/>
        <v>-1.1823431123048067E-11</v>
      </c>
    </row>
    <row r="153" spans="1:98" s="4" customFormat="1" ht="144" x14ac:dyDescent="0.3">
      <c r="A153" s="173" t="s">
        <v>305</v>
      </c>
      <c r="B153" s="167" t="s">
        <v>306</v>
      </c>
      <c r="C153" s="167" t="s">
        <v>1304</v>
      </c>
      <c r="D153" s="160" t="s">
        <v>122</v>
      </c>
      <c r="E153" s="148" t="s">
        <v>52</v>
      </c>
      <c r="F153" s="192" t="s">
        <v>307</v>
      </c>
      <c r="G153" s="187" t="s">
        <v>62</v>
      </c>
      <c r="H153" s="527"/>
      <c r="I153" s="197">
        <v>72</v>
      </c>
      <c r="J153" s="635">
        <v>72</v>
      </c>
      <c r="K153" s="287">
        <v>72</v>
      </c>
      <c r="L153" s="635">
        <v>72</v>
      </c>
      <c r="M153" s="660">
        <v>76.599999999999994</v>
      </c>
      <c r="N153" s="598" t="s">
        <v>1540</v>
      </c>
      <c r="O153" s="617" t="s">
        <v>1630</v>
      </c>
      <c r="P153" s="557"/>
      <c r="Q153" s="197">
        <v>72</v>
      </c>
      <c r="R153" s="197">
        <v>72</v>
      </c>
      <c r="S153" s="197">
        <v>72</v>
      </c>
      <c r="T153" s="197">
        <v>72</v>
      </c>
      <c r="U153" s="197">
        <v>72</v>
      </c>
      <c r="V153" s="197">
        <v>72</v>
      </c>
      <c r="W153" s="197">
        <v>72</v>
      </c>
      <c r="X153" s="197">
        <v>72</v>
      </c>
      <c r="Y153" s="197">
        <v>72</v>
      </c>
      <c r="Z153" s="197">
        <v>72</v>
      </c>
      <c r="AA153" s="165"/>
      <c r="AB153" s="70"/>
      <c r="AC153" s="70"/>
      <c r="AD153" s="70"/>
      <c r="AE153" s="70"/>
      <c r="AF153" s="165"/>
      <c r="AG153" s="70"/>
      <c r="AH153" s="70"/>
      <c r="AI153" s="70"/>
      <c r="AJ153" s="70"/>
      <c r="AK153" s="165"/>
      <c r="AL153" s="70"/>
      <c r="AM153" s="70"/>
      <c r="AN153" s="70"/>
      <c r="AO153" s="70"/>
      <c r="AP153" s="165"/>
      <c r="AQ153" s="70"/>
      <c r="AR153" s="70"/>
      <c r="AS153" s="70"/>
      <c r="AT153" s="70"/>
      <c r="AU153" s="165"/>
      <c r="AV153" s="70"/>
      <c r="AW153" s="70"/>
      <c r="AX153" s="70"/>
      <c r="AY153" s="70"/>
      <c r="AZ153" s="165"/>
      <c r="BA153" s="70"/>
      <c r="BB153" s="70"/>
      <c r="BC153" s="70"/>
      <c r="BD153" s="70"/>
      <c r="BE153" s="165"/>
      <c r="BF153" s="70"/>
      <c r="BG153" s="70"/>
      <c r="BH153" s="70"/>
      <c r="BI153" s="70"/>
      <c r="BJ153" s="165"/>
      <c r="BK153" s="70"/>
      <c r="BL153" s="70"/>
      <c r="BM153" s="70"/>
      <c r="BN153" s="70"/>
      <c r="BO153" s="165"/>
      <c r="BP153" s="70"/>
      <c r="BQ153" s="70"/>
      <c r="BR153" s="70"/>
      <c r="BS153" s="70"/>
      <c r="BT153" s="165"/>
      <c r="BU153" s="70"/>
      <c r="BV153" s="70"/>
      <c r="BW153" s="70"/>
      <c r="BX153" s="70"/>
      <c r="BY153" s="165"/>
      <c r="BZ153" s="70"/>
      <c r="CA153" s="70"/>
      <c r="CB153" s="70"/>
      <c r="CC153" s="70"/>
      <c r="CD153" s="165"/>
      <c r="CE153" s="70"/>
      <c r="CF153" s="70"/>
      <c r="CG153" s="70"/>
      <c r="CH153" s="70"/>
      <c r="CI153" s="181">
        <f t="shared" ref="CI153" si="412">AA153+AF153+AK153</f>
        <v>0</v>
      </c>
      <c r="CJ153" s="180">
        <f t="shared" ref="CJ153" si="413">AB153+AG153+AL153</f>
        <v>0</v>
      </c>
      <c r="CK153" s="180">
        <f t="shared" ref="CK153" si="414">AC153+AH153+AM153</f>
        <v>0</v>
      </c>
      <c r="CL153" s="180">
        <f t="shared" ref="CL153" si="415">AD153+AI153+AN153</f>
        <v>0</v>
      </c>
      <c r="CM153" s="180">
        <f t="shared" ref="CM153" si="416">AE153+AJ153+AO153</f>
        <v>0</v>
      </c>
      <c r="CN153" s="181">
        <f t="shared" ref="CN153:CR159" si="417">AA153+AF153+AK153+AP153+AU153+AZ153+BE153+BJ153+BO153+BT153+BY153+CD153</f>
        <v>0</v>
      </c>
      <c r="CO153" s="180">
        <f t="shared" si="417"/>
        <v>0</v>
      </c>
      <c r="CP153" s="180">
        <f t="shared" si="417"/>
        <v>0</v>
      </c>
      <c r="CQ153" s="180">
        <f t="shared" si="417"/>
        <v>0</v>
      </c>
      <c r="CR153" s="180">
        <f t="shared" si="417"/>
        <v>0</v>
      </c>
      <c r="CS153" s="273">
        <f>CN153-CO153-CP153-CQ153-CR153</f>
        <v>0</v>
      </c>
      <c r="CT153" s="14"/>
    </row>
    <row r="154" spans="1:98" s="4" customFormat="1" ht="168" x14ac:dyDescent="0.35">
      <c r="A154" s="173" t="s">
        <v>1253</v>
      </c>
      <c r="B154" s="188" t="s">
        <v>309</v>
      </c>
      <c r="C154" s="188" t="s">
        <v>1306</v>
      </c>
      <c r="D154" s="187" t="s">
        <v>122</v>
      </c>
      <c r="E154" s="193">
        <v>2019</v>
      </c>
      <c r="F154" s="192" t="s">
        <v>310</v>
      </c>
      <c r="G154" s="187" t="s">
        <v>74</v>
      </c>
      <c r="H154" s="527"/>
      <c r="I154" s="193">
        <v>7</v>
      </c>
      <c r="J154" s="634"/>
      <c r="K154" s="288">
        <v>7</v>
      </c>
      <c r="L154" s="634"/>
      <c r="M154" s="657">
        <v>7</v>
      </c>
      <c r="N154" s="597"/>
      <c r="O154" s="625"/>
      <c r="P154" s="444"/>
      <c r="Q154" s="193"/>
      <c r="R154" s="193"/>
      <c r="S154" s="193"/>
      <c r="T154" s="193"/>
      <c r="U154" s="193"/>
      <c r="V154" s="193"/>
      <c r="W154" s="193"/>
      <c r="X154" s="193"/>
      <c r="Y154" s="193"/>
      <c r="Z154" s="193"/>
      <c r="AA154" s="165">
        <f t="shared" ref="AA154:AA158" si="418">SUM(AB154:AE154)</f>
        <v>511.3</v>
      </c>
      <c r="AB154" s="70"/>
      <c r="AC154" s="70">
        <v>511.3</v>
      </c>
      <c r="AD154" s="70"/>
      <c r="AE154" s="70"/>
      <c r="AF154" s="165">
        <f t="shared" ref="AF154:AF158" si="419">SUM(AG154:AJ154)</f>
        <v>0</v>
      </c>
      <c r="AG154" s="70"/>
      <c r="AH154" s="70"/>
      <c r="AI154" s="70"/>
      <c r="AJ154" s="70"/>
      <c r="AK154" s="165">
        <f>SUM(AL154:AO154)</f>
        <v>0</v>
      </c>
      <c r="AL154" s="70"/>
      <c r="AM154" s="70"/>
      <c r="AN154" s="70"/>
      <c r="AO154" s="70"/>
      <c r="AP154" s="165">
        <f>SUM(AQ154:AT154)</f>
        <v>0</v>
      </c>
      <c r="AQ154" s="70"/>
      <c r="AR154" s="70"/>
      <c r="AS154" s="70"/>
      <c r="AT154" s="70"/>
      <c r="AU154" s="165">
        <f>SUM(AV154:AY154)</f>
        <v>0</v>
      </c>
      <c r="AV154" s="70"/>
      <c r="AW154" s="70"/>
      <c r="AX154" s="70"/>
      <c r="AY154" s="70"/>
      <c r="AZ154" s="165">
        <f>SUM(BA154:BD154)</f>
        <v>0</v>
      </c>
      <c r="BA154" s="70"/>
      <c r="BB154" s="70"/>
      <c r="BC154" s="70"/>
      <c r="BD154" s="70"/>
      <c r="BE154" s="165">
        <f>SUM(BF154:BI154)</f>
        <v>0</v>
      </c>
      <c r="BF154" s="70"/>
      <c r="BG154" s="70"/>
      <c r="BH154" s="70"/>
      <c r="BI154" s="70"/>
      <c r="BJ154" s="165">
        <f>SUM(BK154:BN154)</f>
        <v>0</v>
      </c>
      <c r="BK154" s="70"/>
      <c r="BL154" s="70"/>
      <c r="BM154" s="70"/>
      <c r="BN154" s="70"/>
      <c r="BO154" s="165">
        <f>SUM(BP154:BS154)</f>
        <v>0</v>
      </c>
      <c r="BP154" s="70"/>
      <c r="BQ154" s="70"/>
      <c r="BR154" s="70"/>
      <c r="BS154" s="70"/>
      <c r="BT154" s="165">
        <f>SUM(BU154:BX154)</f>
        <v>0</v>
      </c>
      <c r="BU154" s="70"/>
      <c r="BV154" s="70"/>
      <c r="BW154" s="70"/>
      <c r="BX154" s="70"/>
      <c r="BY154" s="165">
        <f>SUM(BZ154:CC154)</f>
        <v>0</v>
      </c>
      <c r="BZ154" s="70"/>
      <c r="CA154" s="70"/>
      <c r="CB154" s="70"/>
      <c r="CC154" s="70"/>
      <c r="CD154" s="165">
        <f>SUM(CE154:CH154)</f>
        <v>0</v>
      </c>
      <c r="CE154" s="70"/>
      <c r="CF154" s="70"/>
      <c r="CG154" s="70"/>
      <c r="CH154" s="70"/>
      <c r="CI154" s="181">
        <f t="shared" ref="CI154:CI158" si="420">AA154+AF154+AK154</f>
        <v>511.3</v>
      </c>
      <c r="CJ154" s="180">
        <f t="shared" ref="CJ154:CJ158" si="421">AB154+AG154+AL154</f>
        <v>0</v>
      </c>
      <c r="CK154" s="180">
        <f t="shared" ref="CK154:CK158" si="422">AC154+AH154+AM154</f>
        <v>511.3</v>
      </c>
      <c r="CL154" s="180">
        <f t="shared" ref="CL154:CL158" si="423">AD154+AI154+AN154</f>
        <v>0</v>
      </c>
      <c r="CM154" s="180">
        <f t="shared" ref="CM154:CM158" si="424">AE154+AJ154+AO154</f>
        <v>0</v>
      </c>
      <c r="CN154" s="181">
        <f t="shared" si="417"/>
        <v>511.3</v>
      </c>
      <c r="CO154" s="180">
        <f t="shared" si="417"/>
        <v>0</v>
      </c>
      <c r="CP154" s="180">
        <f t="shared" si="417"/>
        <v>511.3</v>
      </c>
      <c r="CQ154" s="180">
        <f t="shared" si="417"/>
        <v>0</v>
      </c>
      <c r="CR154" s="180">
        <f t="shared" si="417"/>
        <v>0</v>
      </c>
      <c r="CS154" s="273">
        <f t="shared" ref="CS154:CS159" si="425">CN154-CO154-CP154-CQ154-CR154</f>
        <v>0</v>
      </c>
      <c r="CT154" s="14"/>
    </row>
    <row r="155" spans="1:98" s="4" customFormat="1" ht="144" x14ac:dyDescent="0.3">
      <c r="A155" s="173" t="s">
        <v>1096</v>
      </c>
      <c r="B155" s="74" t="s">
        <v>1406</v>
      </c>
      <c r="C155" s="74" t="s">
        <v>1407</v>
      </c>
      <c r="D155" s="187" t="s">
        <v>1404</v>
      </c>
      <c r="E155" s="193" t="s">
        <v>91</v>
      </c>
      <c r="F155" s="74" t="s">
        <v>1418</v>
      </c>
      <c r="G155" s="187" t="s">
        <v>74</v>
      </c>
      <c r="H155" s="527"/>
      <c r="I155" s="76">
        <v>2</v>
      </c>
      <c r="J155" s="634">
        <v>3</v>
      </c>
      <c r="K155" s="76">
        <v>1</v>
      </c>
      <c r="L155" s="634">
        <v>3</v>
      </c>
      <c r="M155" s="659">
        <v>0</v>
      </c>
      <c r="N155" s="598" t="s">
        <v>1534</v>
      </c>
      <c r="O155" s="617" t="s">
        <v>1639</v>
      </c>
      <c r="P155" s="557"/>
      <c r="Q155" s="193">
        <v>3</v>
      </c>
      <c r="R155" s="193">
        <v>3</v>
      </c>
      <c r="S155" s="193">
        <v>3</v>
      </c>
      <c r="T155" s="193">
        <v>3</v>
      </c>
      <c r="U155" s="193">
        <v>3</v>
      </c>
      <c r="V155" s="193">
        <v>3</v>
      </c>
      <c r="W155" s="193">
        <v>3</v>
      </c>
      <c r="X155" s="193">
        <v>3</v>
      </c>
      <c r="Y155" s="193">
        <v>3</v>
      </c>
      <c r="Z155" s="193">
        <v>3</v>
      </c>
      <c r="AA155" s="165"/>
      <c r="AB155" s="70"/>
      <c r="AC155" s="70"/>
      <c r="AD155" s="70"/>
      <c r="AE155" s="70"/>
      <c r="AF155" s="165"/>
      <c r="AG155" s="70"/>
      <c r="AH155" s="70"/>
      <c r="AI155" s="70"/>
      <c r="AJ155" s="70"/>
      <c r="AK155" s="165"/>
      <c r="AL155" s="70"/>
      <c r="AM155" s="70"/>
      <c r="AN155" s="70"/>
      <c r="AO155" s="70"/>
      <c r="AP155" s="165"/>
      <c r="AQ155" s="70"/>
      <c r="AR155" s="70"/>
      <c r="AS155" s="70"/>
      <c r="AT155" s="70"/>
      <c r="AU155" s="165"/>
      <c r="AV155" s="70"/>
      <c r="AW155" s="70"/>
      <c r="AX155" s="70"/>
      <c r="AY155" s="70"/>
      <c r="AZ155" s="165"/>
      <c r="BA155" s="70"/>
      <c r="BB155" s="70"/>
      <c r="BC155" s="70"/>
      <c r="BD155" s="70"/>
      <c r="BE155" s="165"/>
      <c r="BF155" s="70"/>
      <c r="BG155" s="70"/>
      <c r="BH155" s="70"/>
      <c r="BI155" s="70"/>
      <c r="BJ155" s="165"/>
      <c r="BK155" s="70"/>
      <c r="BL155" s="70"/>
      <c r="BM155" s="70"/>
      <c r="BN155" s="70"/>
      <c r="BO155" s="165"/>
      <c r="BP155" s="70"/>
      <c r="BQ155" s="70"/>
      <c r="BR155" s="70"/>
      <c r="BS155" s="70"/>
      <c r="BT155" s="165"/>
      <c r="BU155" s="70"/>
      <c r="BV155" s="70"/>
      <c r="BW155" s="70"/>
      <c r="BX155" s="70"/>
      <c r="BY155" s="165"/>
      <c r="BZ155" s="70"/>
      <c r="CA155" s="70"/>
      <c r="CB155" s="70"/>
      <c r="CC155" s="70"/>
      <c r="CD155" s="165"/>
      <c r="CE155" s="70"/>
      <c r="CF155" s="70"/>
      <c r="CG155" s="70"/>
      <c r="CH155" s="70"/>
      <c r="CI155" s="181">
        <f t="shared" ref="CI155" si="426">AA155+AF155+AK155</f>
        <v>0</v>
      </c>
      <c r="CJ155" s="180">
        <f t="shared" ref="CJ155" si="427">AB155+AG155+AL155</f>
        <v>0</v>
      </c>
      <c r="CK155" s="180">
        <f t="shared" ref="CK155" si="428">AC155+AH155+AM155</f>
        <v>0</v>
      </c>
      <c r="CL155" s="180">
        <f t="shared" ref="CL155" si="429">AD155+AI155+AN155</f>
        <v>0</v>
      </c>
      <c r="CM155" s="180">
        <f t="shared" ref="CM155" si="430">AE155+AJ155+AO155</f>
        <v>0</v>
      </c>
      <c r="CN155" s="181">
        <f t="shared" ref="CN155" si="431">AA155+AF155+AK155+AP155+AU155+AZ155+BE155+BJ155+BO155+BT155+BY155+CD155</f>
        <v>0</v>
      </c>
      <c r="CO155" s="180">
        <f t="shared" ref="CO155" si="432">AB155+AG155+AL155+AQ155+AV155+BA155+BF155+BK155+BP155+BU155+BZ155+CE155</f>
        <v>0</v>
      </c>
      <c r="CP155" s="180">
        <f t="shared" ref="CP155" si="433">AC155+AH155+AM155+AR155+AW155+BB155+BG155+BL155+BQ155+BV155+CA155+CF155</f>
        <v>0</v>
      </c>
      <c r="CQ155" s="180">
        <f t="shared" ref="CQ155" si="434">AD155+AI155+AN155+AS155+AX155+BC155+BH155+BM155+BR155+BW155+CB155+CG155</f>
        <v>0</v>
      </c>
      <c r="CR155" s="180">
        <f t="shared" ref="CR155" si="435">AE155+AJ155+AO155+AT155+AY155+BD155+BI155+BN155+BS155+BX155+CC155+CH155</f>
        <v>0</v>
      </c>
      <c r="CS155" s="273">
        <f t="shared" ref="CS155" si="436">CN155-CO155-CP155-CQ155-CR155</f>
        <v>0</v>
      </c>
      <c r="CT155" s="14"/>
    </row>
    <row r="156" spans="1:98" s="4" customFormat="1" ht="168" x14ac:dyDescent="0.3">
      <c r="A156" s="499" t="s">
        <v>815</v>
      </c>
      <c r="B156" s="500" t="s">
        <v>1420</v>
      </c>
      <c r="C156" s="500" t="s">
        <v>1421</v>
      </c>
      <c r="D156" s="476" t="s">
        <v>1422</v>
      </c>
      <c r="E156" s="476" t="s">
        <v>628</v>
      </c>
      <c r="F156" s="500" t="s">
        <v>1423</v>
      </c>
      <c r="G156" s="476" t="s">
        <v>1424</v>
      </c>
      <c r="H156" s="527"/>
      <c r="I156" s="476"/>
      <c r="J156" s="634"/>
      <c r="K156" s="476">
        <v>2</v>
      </c>
      <c r="L156" s="634"/>
      <c r="M156" s="657" t="s">
        <v>140</v>
      </c>
      <c r="N156" s="602" t="s">
        <v>1541</v>
      </c>
      <c r="O156" s="510" t="s">
        <v>1707</v>
      </c>
      <c r="P156" s="510"/>
      <c r="Q156" s="476"/>
      <c r="R156" s="476"/>
      <c r="S156" s="476">
        <v>1</v>
      </c>
      <c r="T156" s="476">
        <v>1</v>
      </c>
      <c r="U156" s="476">
        <v>1</v>
      </c>
      <c r="V156" s="476">
        <v>1</v>
      </c>
      <c r="W156" s="476">
        <v>1</v>
      </c>
      <c r="X156" s="476">
        <v>1</v>
      </c>
      <c r="Y156" s="476">
        <v>1</v>
      </c>
      <c r="Z156" s="476">
        <v>1</v>
      </c>
      <c r="AA156" s="494"/>
      <c r="AB156" s="70"/>
      <c r="AC156" s="70"/>
      <c r="AD156" s="70"/>
      <c r="AE156" s="70"/>
      <c r="AF156" s="494"/>
      <c r="AG156" s="70"/>
      <c r="AH156" s="70"/>
      <c r="AI156" s="70"/>
      <c r="AJ156" s="70"/>
      <c r="AK156" s="494"/>
      <c r="AL156" s="70"/>
      <c r="AM156" s="70"/>
      <c r="AN156" s="70"/>
      <c r="AO156" s="70"/>
      <c r="AP156" s="494"/>
      <c r="AQ156" s="70"/>
      <c r="AR156" s="70"/>
      <c r="AS156" s="70"/>
      <c r="AT156" s="70"/>
      <c r="AU156" s="494"/>
      <c r="AV156" s="70"/>
      <c r="AW156" s="70"/>
      <c r="AX156" s="70"/>
      <c r="AY156" s="70"/>
      <c r="AZ156" s="494"/>
      <c r="BA156" s="70"/>
      <c r="BB156" s="70"/>
      <c r="BC156" s="70"/>
      <c r="BD156" s="70"/>
      <c r="BE156" s="494"/>
      <c r="BF156" s="70"/>
      <c r="BG156" s="70"/>
      <c r="BH156" s="70"/>
      <c r="BI156" s="70"/>
      <c r="BJ156" s="494"/>
      <c r="BK156" s="70"/>
      <c r="BL156" s="70"/>
      <c r="BM156" s="70"/>
      <c r="BN156" s="70"/>
      <c r="BO156" s="494"/>
      <c r="BP156" s="70"/>
      <c r="BQ156" s="70"/>
      <c r="BR156" s="70"/>
      <c r="BS156" s="70"/>
      <c r="BT156" s="494"/>
      <c r="BU156" s="70"/>
      <c r="BV156" s="70"/>
      <c r="BW156" s="70"/>
      <c r="BX156" s="70"/>
      <c r="BY156" s="494"/>
      <c r="BZ156" s="70"/>
      <c r="CA156" s="70"/>
      <c r="CB156" s="70"/>
      <c r="CC156" s="70"/>
      <c r="CD156" s="494"/>
      <c r="CE156" s="70"/>
      <c r="CF156" s="70"/>
      <c r="CG156" s="70"/>
      <c r="CH156" s="70"/>
      <c r="CI156" s="501">
        <f t="shared" ref="CI156" si="437">AA156+AF156+AK156</f>
        <v>0</v>
      </c>
      <c r="CJ156" s="492">
        <f t="shared" ref="CJ156" si="438">AB156+AG156+AL156</f>
        <v>0</v>
      </c>
      <c r="CK156" s="492">
        <f t="shared" ref="CK156" si="439">AC156+AH156+AM156</f>
        <v>0</v>
      </c>
      <c r="CL156" s="492">
        <f t="shared" ref="CL156" si="440">AD156+AI156+AN156</f>
        <v>0</v>
      </c>
      <c r="CM156" s="492">
        <f t="shared" ref="CM156" si="441">AE156+AJ156+AO156</f>
        <v>0</v>
      </c>
      <c r="CN156" s="501">
        <f t="shared" ref="CN156" si="442">AA156+AF156+AK156+AP156+AU156+AZ156+BE156+BJ156+BO156+BT156+BY156+CD156</f>
        <v>0</v>
      </c>
      <c r="CO156" s="492">
        <f t="shared" ref="CO156" si="443">AB156+AG156+AL156+AQ156+AV156+BA156+BF156+BK156+BP156+BU156+BZ156+CE156</f>
        <v>0</v>
      </c>
      <c r="CP156" s="492">
        <f t="shared" ref="CP156" si="444">AC156+AH156+AM156+AR156+AW156+BB156+BG156+BL156+BQ156+BV156+CA156+CF156</f>
        <v>0</v>
      </c>
      <c r="CQ156" s="492">
        <f t="shared" ref="CQ156" si="445">AD156+AI156+AN156+AS156+AX156+BC156+BH156+BM156+BR156+BW156+CB156+CG156</f>
        <v>0</v>
      </c>
      <c r="CR156" s="492">
        <f t="shared" ref="CR156" si="446">AE156+AJ156+AO156+AT156+AY156+BD156+BI156+BN156+BS156+BX156+CC156+CH156</f>
        <v>0</v>
      </c>
      <c r="CS156" s="501">
        <f t="shared" ref="CS156" si="447">CN156-CO156-CP156-CQ156-CR156</f>
        <v>0</v>
      </c>
      <c r="CT156" s="14"/>
    </row>
    <row r="157" spans="1:98" s="4" customFormat="1" ht="168" x14ac:dyDescent="0.3">
      <c r="A157" s="499" t="s">
        <v>960</v>
      </c>
      <c r="B157" s="506" t="s">
        <v>320</v>
      </c>
      <c r="C157" s="506" t="s">
        <v>1305</v>
      </c>
      <c r="D157" s="503" t="s">
        <v>321</v>
      </c>
      <c r="E157" s="503" t="s">
        <v>322</v>
      </c>
      <c r="F157" s="481" t="s">
        <v>1014</v>
      </c>
      <c r="G157" s="503" t="s">
        <v>62</v>
      </c>
      <c r="H157" s="527"/>
      <c r="I157" s="476"/>
      <c r="J157" s="634">
        <v>10</v>
      </c>
      <c r="K157" s="476" t="s">
        <v>140</v>
      </c>
      <c r="L157" s="634">
        <v>10</v>
      </c>
      <c r="M157" s="657"/>
      <c r="N157" s="598" t="s">
        <v>1542</v>
      </c>
      <c r="O157" s="617" t="s">
        <v>1542</v>
      </c>
      <c r="P157" s="582"/>
      <c r="Q157" s="476">
        <v>10</v>
      </c>
      <c r="R157" s="476">
        <v>50</v>
      </c>
      <c r="S157" s="476">
        <v>50</v>
      </c>
      <c r="T157" s="476">
        <v>50</v>
      </c>
      <c r="U157" s="476">
        <v>100</v>
      </c>
      <c r="V157" s="476"/>
      <c r="W157" s="476"/>
      <c r="X157" s="476"/>
      <c r="Y157" s="476"/>
      <c r="Z157" s="476"/>
      <c r="AA157" s="494"/>
      <c r="AB157" s="491"/>
      <c r="AC157" s="491"/>
      <c r="AD157" s="491"/>
      <c r="AE157" s="491"/>
      <c r="AF157" s="494">
        <f>SUM(AG157:AJ157)</f>
        <v>0</v>
      </c>
      <c r="AG157" s="491"/>
      <c r="AH157" s="491"/>
      <c r="AI157" s="491"/>
      <c r="AJ157" s="491"/>
      <c r="AK157" s="494">
        <f t="shared" ref="AK157" si="448">SUM(AL157:AO157)</f>
        <v>0</v>
      </c>
      <c r="AL157" s="491"/>
      <c r="AM157" s="491"/>
      <c r="AN157" s="491"/>
      <c r="AO157" s="491"/>
      <c r="AP157" s="494">
        <f t="shared" ref="AP157" si="449">SUM(AQ157:AT157)</f>
        <v>0</v>
      </c>
      <c r="AQ157" s="491"/>
      <c r="AR157" s="491"/>
      <c r="AS157" s="491"/>
      <c r="AT157" s="491"/>
      <c r="AU157" s="494">
        <f t="shared" ref="AU157" si="450">SUM(AV157:AY157)</f>
        <v>0</v>
      </c>
      <c r="AV157" s="491"/>
      <c r="AW157" s="491"/>
      <c r="AX157" s="491"/>
      <c r="AY157" s="491"/>
      <c r="AZ157" s="494">
        <f t="shared" ref="AZ157" si="451">SUM(BA157:BD157)</f>
        <v>0</v>
      </c>
      <c r="BA157" s="491"/>
      <c r="BB157" s="491"/>
      <c r="BC157" s="491"/>
      <c r="BD157" s="491"/>
      <c r="BE157" s="494">
        <f t="shared" ref="BE157" si="452">SUM(BF157:BI157)</f>
        <v>0</v>
      </c>
      <c r="BF157" s="491"/>
      <c r="BG157" s="491"/>
      <c r="BH157" s="491"/>
      <c r="BI157" s="491"/>
      <c r="BJ157" s="494"/>
      <c r="BK157" s="491"/>
      <c r="BL157" s="491"/>
      <c r="BM157" s="491"/>
      <c r="BN157" s="491"/>
      <c r="BO157" s="494"/>
      <c r="BP157" s="491"/>
      <c r="BQ157" s="491"/>
      <c r="BR157" s="491"/>
      <c r="BS157" s="491"/>
      <c r="BT157" s="494"/>
      <c r="BU157" s="491"/>
      <c r="BV157" s="491"/>
      <c r="BW157" s="491"/>
      <c r="BX157" s="491"/>
      <c r="BY157" s="494"/>
      <c r="BZ157" s="491"/>
      <c r="CA157" s="491"/>
      <c r="CB157" s="491"/>
      <c r="CC157" s="491"/>
      <c r="CD157" s="494"/>
      <c r="CE157" s="491"/>
      <c r="CF157" s="491"/>
      <c r="CG157" s="491"/>
      <c r="CH157" s="491"/>
      <c r="CI157" s="501">
        <f>AA157+AF157+AK157</f>
        <v>0</v>
      </c>
      <c r="CJ157" s="492">
        <f>AB157+AG157+AL157</f>
        <v>0</v>
      </c>
      <c r="CK157" s="492">
        <f>AC157+AH157+AM157</f>
        <v>0</v>
      </c>
      <c r="CL157" s="492">
        <f>AD157+AI157+AN157</f>
        <v>0</v>
      </c>
      <c r="CM157" s="492">
        <f>AE157+AJ157+AO157</f>
        <v>0</v>
      </c>
      <c r="CN157" s="501">
        <f>AA157+AF157+AK157+AP157+AU157+AZ157+BE157+BJ157+BO157+BT157+BY157+CD157</f>
        <v>0</v>
      </c>
      <c r="CO157" s="492">
        <f>AB157+AG157+AL157+AQ157+AV157+BA157+BF157+BK157+BP157+BU157+BZ157+CE157</f>
        <v>0</v>
      </c>
      <c r="CP157" s="492">
        <f>AC157+AH157+AM157+AR157+AW157+BB157+BG157+BL157+BQ157+BV157+CA157+CF157</f>
        <v>0</v>
      </c>
      <c r="CQ157" s="492">
        <f>AD157+AI157+AN157+AS157+AX157+BC157+BH157+BM157+BR157+BW157+CB157+CG157</f>
        <v>0</v>
      </c>
      <c r="CR157" s="492">
        <f>AE157+AJ157+AO157+AT157+AY157+BD157+BI157+BN157+BS157+BX157+CC157+CH157</f>
        <v>0</v>
      </c>
      <c r="CS157" s="501">
        <f>CN157-CO157-CP157-CQ157-CR157</f>
        <v>0</v>
      </c>
      <c r="CT157" s="14"/>
    </row>
    <row r="158" spans="1:98" s="4" customFormat="1" ht="336" x14ac:dyDescent="0.3">
      <c r="A158" s="173" t="s">
        <v>1408</v>
      </c>
      <c r="B158" s="188" t="s">
        <v>961</v>
      </c>
      <c r="C158" s="188" t="s">
        <v>1307</v>
      </c>
      <c r="D158" s="187" t="s">
        <v>962</v>
      </c>
      <c r="E158" s="193" t="s">
        <v>52</v>
      </c>
      <c r="F158" s="192" t="s">
        <v>308</v>
      </c>
      <c r="G158" s="187" t="s">
        <v>74</v>
      </c>
      <c r="H158" s="527">
        <v>338</v>
      </c>
      <c r="I158" s="76">
        <v>253</v>
      </c>
      <c r="J158" s="634">
        <v>253</v>
      </c>
      <c r="K158" s="76">
        <v>230</v>
      </c>
      <c r="L158" s="634">
        <v>253</v>
      </c>
      <c r="M158" s="659">
        <v>325</v>
      </c>
      <c r="N158" s="598" t="s">
        <v>1750</v>
      </c>
      <c r="O158" s="617"/>
      <c r="P158" s="557"/>
      <c r="Q158" s="193">
        <v>253</v>
      </c>
      <c r="R158" s="193">
        <v>253</v>
      </c>
      <c r="S158" s="193">
        <v>253</v>
      </c>
      <c r="T158" s="193">
        <v>253</v>
      </c>
      <c r="U158" s="193">
        <v>253</v>
      </c>
      <c r="V158" s="193">
        <v>253</v>
      </c>
      <c r="W158" s="193">
        <v>253</v>
      </c>
      <c r="X158" s="193">
        <v>253</v>
      </c>
      <c r="Y158" s="193">
        <v>253</v>
      </c>
      <c r="Z158" s="193">
        <v>253</v>
      </c>
      <c r="AA158" s="165">
        <f t="shared" si="418"/>
        <v>8708.5</v>
      </c>
      <c r="AB158" s="70">
        <v>7919.9</v>
      </c>
      <c r="AC158" s="70">
        <v>788.6</v>
      </c>
      <c r="AD158" s="70"/>
      <c r="AE158" s="70"/>
      <c r="AF158" s="165">
        <f t="shared" si="419"/>
        <v>8708.5</v>
      </c>
      <c r="AG158" s="70">
        <v>7919.9</v>
      </c>
      <c r="AH158" s="70">
        <v>788.6</v>
      </c>
      <c r="AI158" s="70"/>
      <c r="AJ158" s="70"/>
      <c r="AK158" s="77">
        <f>AL158+AM158</f>
        <v>8708.5</v>
      </c>
      <c r="AL158" s="70">
        <v>7919.9</v>
      </c>
      <c r="AM158" s="70">
        <v>788.6</v>
      </c>
      <c r="AN158" s="70"/>
      <c r="AO158" s="70"/>
      <c r="AP158" s="77">
        <v>7919.9</v>
      </c>
      <c r="AQ158" s="70">
        <v>7919.9</v>
      </c>
      <c r="AR158" s="70"/>
      <c r="AS158" s="70"/>
      <c r="AT158" s="70"/>
      <c r="AU158" s="77">
        <v>7919.9</v>
      </c>
      <c r="AV158" s="70">
        <v>7919.9</v>
      </c>
      <c r="AW158" s="70"/>
      <c r="AX158" s="70"/>
      <c r="AY158" s="70"/>
      <c r="AZ158" s="77">
        <v>7919.9</v>
      </c>
      <c r="BA158" s="70">
        <v>7919.9</v>
      </c>
      <c r="BB158" s="70"/>
      <c r="BC158" s="70"/>
      <c r="BD158" s="70"/>
      <c r="BE158" s="77">
        <v>7919.9</v>
      </c>
      <c r="BF158" s="70">
        <v>7919.9</v>
      </c>
      <c r="BG158" s="70"/>
      <c r="BH158" s="70"/>
      <c r="BI158" s="70"/>
      <c r="BJ158" s="77">
        <v>7919.9</v>
      </c>
      <c r="BK158" s="70">
        <v>7919.9</v>
      </c>
      <c r="BL158" s="70"/>
      <c r="BM158" s="70"/>
      <c r="BN158" s="70"/>
      <c r="BO158" s="77">
        <v>7919.9</v>
      </c>
      <c r="BP158" s="70">
        <v>7919.9</v>
      </c>
      <c r="BQ158" s="70"/>
      <c r="BR158" s="70"/>
      <c r="BS158" s="70"/>
      <c r="BT158" s="77">
        <v>7919.9</v>
      </c>
      <c r="BU158" s="70">
        <v>7919.9</v>
      </c>
      <c r="BV158" s="70"/>
      <c r="BW158" s="70"/>
      <c r="BX158" s="70"/>
      <c r="BY158" s="77">
        <v>7919.9</v>
      </c>
      <c r="BZ158" s="70">
        <v>7919.9</v>
      </c>
      <c r="CA158" s="70"/>
      <c r="CB158" s="70"/>
      <c r="CC158" s="70"/>
      <c r="CD158" s="77">
        <v>7919.9</v>
      </c>
      <c r="CE158" s="70">
        <v>7919.9</v>
      </c>
      <c r="CF158" s="70"/>
      <c r="CG158" s="70"/>
      <c r="CH158" s="70"/>
      <c r="CI158" s="181">
        <f t="shared" si="420"/>
        <v>26125.5</v>
      </c>
      <c r="CJ158" s="180">
        <f t="shared" si="421"/>
        <v>23759.699999999997</v>
      </c>
      <c r="CK158" s="180">
        <f t="shared" si="422"/>
        <v>2365.8000000000002</v>
      </c>
      <c r="CL158" s="180">
        <f t="shared" si="423"/>
        <v>0</v>
      </c>
      <c r="CM158" s="180">
        <f t="shared" si="424"/>
        <v>0</v>
      </c>
      <c r="CN158" s="181">
        <f t="shared" si="417"/>
        <v>97404.599999999977</v>
      </c>
      <c r="CO158" s="180">
        <f t="shared" si="417"/>
        <v>95038.799999999988</v>
      </c>
      <c r="CP158" s="180">
        <f t="shared" si="417"/>
        <v>2365.8000000000002</v>
      </c>
      <c r="CQ158" s="180">
        <f t="shared" si="417"/>
        <v>0</v>
      </c>
      <c r="CR158" s="180">
        <f t="shared" si="417"/>
        <v>0</v>
      </c>
      <c r="CS158" s="273">
        <f t="shared" si="425"/>
        <v>-1.1823431123048067E-11</v>
      </c>
      <c r="CT158" s="14"/>
    </row>
    <row r="159" spans="1:98" s="4" customFormat="1" ht="144" x14ac:dyDescent="0.3">
      <c r="A159" s="173" t="s">
        <v>1419</v>
      </c>
      <c r="B159" s="188" t="s">
        <v>963</v>
      </c>
      <c r="C159" s="188" t="s">
        <v>1308</v>
      </c>
      <c r="D159" s="187" t="s">
        <v>122</v>
      </c>
      <c r="E159" s="193" t="s">
        <v>124</v>
      </c>
      <c r="F159" s="192" t="s">
        <v>964</v>
      </c>
      <c r="G159" s="187" t="s">
        <v>74</v>
      </c>
      <c r="H159" s="527"/>
      <c r="I159" s="76">
        <v>35</v>
      </c>
      <c r="J159" s="76">
        <v>35</v>
      </c>
      <c r="K159" s="76">
        <v>9</v>
      </c>
      <c r="L159" s="76">
        <v>35</v>
      </c>
      <c r="M159" s="659">
        <v>37</v>
      </c>
      <c r="N159" s="598" t="s">
        <v>1534</v>
      </c>
      <c r="O159" s="617"/>
      <c r="P159" s="557"/>
      <c r="Q159" s="76">
        <v>35</v>
      </c>
      <c r="R159" s="76">
        <v>35</v>
      </c>
      <c r="S159" s="76">
        <v>35</v>
      </c>
      <c r="T159" s="76">
        <v>35</v>
      </c>
      <c r="U159" s="193"/>
      <c r="V159" s="193"/>
      <c r="W159" s="193"/>
      <c r="X159" s="193"/>
      <c r="Y159" s="193"/>
      <c r="Z159" s="193"/>
      <c r="AA159" s="165"/>
      <c r="AB159" s="70"/>
      <c r="AC159" s="70"/>
      <c r="AD159" s="70"/>
      <c r="AE159" s="70"/>
      <c r="AF159" s="165"/>
      <c r="AG159" s="70"/>
      <c r="AH159" s="70"/>
      <c r="AI159" s="70"/>
      <c r="AJ159" s="70"/>
      <c r="AK159" s="165"/>
      <c r="AL159" s="70"/>
      <c r="AM159" s="70"/>
      <c r="AN159" s="70"/>
      <c r="AO159" s="70"/>
      <c r="AP159" s="165"/>
      <c r="AQ159" s="70"/>
      <c r="AR159" s="70"/>
      <c r="AS159" s="70"/>
      <c r="AT159" s="70"/>
      <c r="AU159" s="165"/>
      <c r="AV159" s="70"/>
      <c r="AW159" s="70"/>
      <c r="AX159" s="70"/>
      <c r="AY159" s="70"/>
      <c r="AZ159" s="165"/>
      <c r="BA159" s="70"/>
      <c r="BB159" s="70"/>
      <c r="BC159" s="70"/>
      <c r="BD159" s="70"/>
      <c r="BE159" s="165"/>
      <c r="BF159" s="70"/>
      <c r="BG159" s="70"/>
      <c r="BH159" s="70"/>
      <c r="BI159" s="70"/>
      <c r="BJ159" s="165"/>
      <c r="BK159" s="70"/>
      <c r="BL159" s="70"/>
      <c r="BM159" s="70"/>
      <c r="BN159" s="70"/>
      <c r="BO159" s="165"/>
      <c r="BP159" s="70"/>
      <c r="BQ159" s="70"/>
      <c r="BR159" s="70"/>
      <c r="BS159" s="70"/>
      <c r="BT159" s="165"/>
      <c r="BU159" s="70"/>
      <c r="BV159" s="70"/>
      <c r="BW159" s="70"/>
      <c r="BX159" s="70"/>
      <c r="BY159" s="165"/>
      <c r="BZ159" s="70"/>
      <c r="CA159" s="70"/>
      <c r="CB159" s="70"/>
      <c r="CC159" s="70"/>
      <c r="CD159" s="165"/>
      <c r="CE159" s="70"/>
      <c r="CF159" s="70"/>
      <c r="CG159" s="70"/>
      <c r="CH159" s="70"/>
      <c r="CI159" s="181">
        <f t="shared" ref="CI159" si="453">AA159+AF159+AK159</f>
        <v>0</v>
      </c>
      <c r="CJ159" s="180">
        <f t="shared" ref="CJ159" si="454">AB159+AG159+AL159</f>
        <v>0</v>
      </c>
      <c r="CK159" s="180">
        <f t="shared" ref="CK159" si="455">AC159+AH159+AM159</f>
        <v>0</v>
      </c>
      <c r="CL159" s="180">
        <f t="shared" ref="CL159" si="456">AD159+AI159+AN159</f>
        <v>0</v>
      </c>
      <c r="CM159" s="180">
        <f t="shared" ref="CM159" si="457">AE159+AJ159+AO159</f>
        <v>0</v>
      </c>
      <c r="CN159" s="181">
        <f t="shared" si="417"/>
        <v>0</v>
      </c>
      <c r="CO159" s="180">
        <f t="shared" si="417"/>
        <v>0</v>
      </c>
      <c r="CP159" s="180">
        <f t="shared" si="417"/>
        <v>0</v>
      </c>
      <c r="CQ159" s="180">
        <f t="shared" si="417"/>
        <v>0</v>
      </c>
      <c r="CR159" s="180">
        <f t="shared" si="417"/>
        <v>0</v>
      </c>
      <c r="CS159" s="273">
        <f t="shared" si="425"/>
        <v>0</v>
      </c>
      <c r="CT159" s="14"/>
    </row>
    <row r="160" spans="1:98" x14ac:dyDescent="0.3">
      <c r="A160" s="362" t="s">
        <v>311</v>
      </c>
      <c r="B160" s="813" t="s">
        <v>312</v>
      </c>
      <c r="C160" s="813"/>
      <c r="D160" s="813"/>
      <c r="E160" s="813"/>
      <c r="F160" s="813"/>
      <c r="G160" s="813"/>
      <c r="H160" s="813"/>
      <c r="I160" s="813"/>
      <c r="J160" s="813"/>
      <c r="K160" s="813"/>
      <c r="L160" s="813"/>
      <c r="M160" s="813"/>
      <c r="N160" s="813"/>
      <c r="O160" s="813"/>
      <c r="P160" s="813"/>
      <c r="Q160" s="813"/>
      <c r="R160" s="813"/>
      <c r="S160" s="813"/>
      <c r="T160" s="813"/>
      <c r="U160" s="813"/>
      <c r="V160" s="813"/>
      <c r="W160" s="813"/>
      <c r="X160" s="813"/>
      <c r="Y160" s="813"/>
      <c r="Z160" s="813"/>
      <c r="AA160" s="813"/>
      <c r="AB160" s="813"/>
      <c r="AC160" s="813"/>
      <c r="AD160" s="813"/>
      <c r="AE160" s="813"/>
      <c r="AF160" s="813"/>
      <c r="AG160" s="813"/>
      <c r="AH160" s="813"/>
      <c r="AI160" s="813"/>
      <c r="AJ160" s="813"/>
      <c r="AK160" s="813"/>
      <c r="AL160" s="813"/>
      <c r="AM160" s="813"/>
      <c r="AN160" s="813"/>
      <c r="AO160" s="813"/>
      <c r="AP160" s="813"/>
      <c r="AQ160" s="813"/>
      <c r="AR160" s="813"/>
      <c r="AS160" s="813"/>
      <c r="AT160" s="813"/>
      <c r="AU160" s="813"/>
      <c r="AV160" s="813"/>
      <c r="AW160" s="813"/>
      <c r="AX160" s="813"/>
      <c r="AY160" s="813"/>
      <c r="AZ160" s="813"/>
      <c r="BA160" s="813"/>
      <c r="BB160" s="813"/>
      <c r="BC160" s="813"/>
      <c r="BD160" s="813"/>
      <c r="BE160" s="813"/>
      <c r="BF160" s="813"/>
      <c r="BG160" s="813"/>
      <c r="BH160" s="813"/>
      <c r="BI160" s="813"/>
      <c r="BJ160" s="813"/>
      <c r="BK160" s="813"/>
      <c r="BL160" s="813"/>
      <c r="BM160" s="813"/>
      <c r="BN160" s="813"/>
      <c r="BO160" s="813"/>
      <c r="BP160" s="813"/>
      <c r="BQ160" s="813"/>
      <c r="BR160" s="813"/>
      <c r="BS160" s="813"/>
      <c r="BT160" s="813"/>
      <c r="BU160" s="813"/>
      <c r="BV160" s="813"/>
      <c r="BW160" s="813"/>
      <c r="BX160" s="813"/>
      <c r="BY160" s="813"/>
      <c r="BZ160" s="813"/>
      <c r="CA160" s="813"/>
      <c r="CB160" s="813"/>
      <c r="CC160" s="813"/>
      <c r="CD160" s="813"/>
      <c r="CE160" s="813"/>
      <c r="CF160" s="813"/>
      <c r="CG160" s="813"/>
      <c r="CH160" s="813"/>
      <c r="CI160" s="813"/>
      <c r="CJ160" s="813"/>
      <c r="CK160" s="813"/>
      <c r="CL160" s="813"/>
      <c r="CM160" s="813"/>
      <c r="CN160" s="277">
        <f>CN161+CN164+CN165+CN166+CN167+CN168+CN169+CN170+CN171+CN172</f>
        <v>1238320.8</v>
      </c>
      <c r="CO160" s="277">
        <f t="shared" ref="CO160:CS160" si="458">CO161+CO164+CO165+CO166+CO167+CO168+CO169+CO170+CO171+CO172</f>
        <v>29058</v>
      </c>
      <c r="CP160" s="277">
        <f t="shared" si="458"/>
        <v>1207585.3</v>
      </c>
      <c r="CQ160" s="277">
        <f t="shared" si="458"/>
        <v>1677.5</v>
      </c>
      <c r="CR160" s="277">
        <f t="shared" si="458"/>
        <v>0</v>
      </c>
      <c r="CS160" s="273">
        <f t="shared" si="458"/>
        <v>2.7284841053187847E-12</v>
      </c>
    </row>
    <row r="161" spans="1:98" s="4" customFormat="1" ht="96" x14ac:dyDescent="0.3">
      <c r="A161" s="796" t="s">
        <v>313</v>
      </c>
      <c r="B161" s="859" t="s">
        <v>314</v>
      </c>
      <c r="C161" s="859" t="s">
        <v>1200</v>
      </c>
      <c r="D161" s="728" t="s">
        <v>28</v>
      </c>
      <c r="E161" s="728" t="s">
        <v>315</v>
      </c>
      <c r="F161" s="192" t="s">
        <v>316</v>
      </c>
      <c r="G161" s="187" t="s">
        <v>62</v>
      </c>
      <c r="H161" s="527"/>
      <c r="I161" s="193"/>
      <c r="J161" s="634"/>
      <c r="K161" s="288"/>
      <c r="L161" s="634"/>
      <c r="M161" s="657"/>
      <c r="N161" s="597"/>
      <c r="O161" s="518"/>
      <c r="P161" s="444"/>
      <c r="Q161" s="193"/>
      <c r="R161" s="193"/>
      <c r="S161" s="193"/>
      <c r="T161" s="193">
        <v>2</v>
      </c>
      <c r="U161" s="193">
        <v>20</v>
      </c>
      <c r="V161" s="193">
        <v>48</v>
      </c>
      <c r="W161" s="193">
        <v>100</v>
      </c>
      <c r="X161" s="193"/>
      <c r="Y161" s="193"/>
      <c r="Z161" s="193"/>
      <c r="AA161" s="767"/>
      <c r="AB161" s="765"/>
      <c r="AC161" s="765"/>
      <c r="AD161" s="765"/>
      <c r="AE161" s="765"/>
      <c r="AF161" s="767"/>
      <c r="AG161" s="765"/>
      <c r="AH161" s="765"/>
      <c r="AI161" s="765"/>
      <c r="AJ161" s="765"/>
      <c r="AK161" s="767"/>
      <c r="AL161" s="765"/>
      <c r="AM161" s="765"/>
      <c r="AN161" s="765"/>
      <c r="AO161" s="765"/>
      <c r="AP161" s="767"/>
      <c r="AQ161" s="765"/>
      <c r="AR161" s="765"/>
      <c r="AS161" s="765"/>
      <c r="AT161" s="765"/>
      <c r="AU161" s="767"/>
      <c r="AV161" s="765"/>
      <c r="AW161" s="765"/>
      <c r="AX161" s="765"/>
      <c r="AY161" s="765"/>
      <c r="AZ161" s="767">
        <v>20000</v>
      </c>
      <c r="BA161" s="765"/>
      <c r="BB161" s="765">
        <v>20000</v>
      </c>
      <c r="BC161" s="765"/>
      <c r="BD161" s="765"/>
      <c r="BE161" s="767">
        <f>SUM(BF161:BI161)</f>
        <v>236000</v>
      </c>
      <c r="BF161" s="765"/>
      <c r="BG161" s="765">
        <v>236000</v>
      </c>
      <c r="BH161" s="765"/>
      <c r="BI161" s="765"/>
      <c r="BJ161" s="767">
        <f>SUM(BK161:BN161)</f>
        <v>566400</v>
      </c>
      <c r="BK161" s="765"/>
      <c r="BL161" s="765">
        <v>566400</v>
      </c>
      <c r="BM161" s="765"/>
      <c r="BN161" s="765"/>
      <c r="BO161" s="767">
        <f>SUM(BP161:BS161)</f>
        <v>377600</v>
      </c>
      <c r="BP161" s="765"/>
      <c r="BQ161" s="765">
        <v>377600</v>
      </c>
      <c r="BR161" s="765"/>
      <c r="BS161" s="765"/>
      <c r="BT161" s="767"/>
      <c r="BU161" s="765"/>
      <c r="BV161" s="765"/>
      <c r="BW161" s="765"/>
      <c r="BX161" s="765"/>
      <c r="BY161" s="767"/>
      <c r="BZ161" s="765"/>
      <c r="CA161" s="765"/>
      <c r="CB161" s="765"/>
      <c r="CC161" s="765"/>
      <c r="CD161" s="767"/>
      <c r="CE161" s="765"/>
      <c r="CF161" s="765"/>
      <c r="CG161" s="765"/>
      <c r="CH161" s="765"/>
      <c r="CI161" s="773">
        <f t="shared" ref="CI161" si="459">AA161+AF161+AK161</f>
        <v>0</v>
      </c>
      <c r="CJ161" s="791">
        <f t="shared" ref="CJ161" si="460">AB161+AG161+AL161</f>
        <v>0</v>
      </c>
      <c r="CK161" s="791">
        <f t="shared" ref="CK161" si="461">AC161+AH161+AM161</f>
        <v>0</v>
      </c>
      <c r="CL161" s="791">
        <f t="shared" ref="CL161" si="462">AD161+AI161+AN161</f>
        <v>0</v>
      </c>
      <c r="CM161" s="791">
        <f t="shared" ref="CM161" si="463">AE161+AJ161+AO161</f>
        <v>0</v>
      </c>
      <c r="CN161" s="773">
        <f>AA161+AF161+AK161+AP161+AU161+AZ161+BE161+BJ161+BO161+BT161+BY161+CD161</f>
        <v>1200000</v>
      </c>
      <c r="CO161" s="791">
        <f>AB161+AG161+AL161+AQ161+AV161+BA161+BF161+BK161+BP161+BU161+BZ161+CE161</f>
        <v>0</v>
      </c>
      <c r="CP161" s="791">
        <f>AC161+AH161+AM161+AR161+AW161+BB161+BG161+BL161+BQ161+BV161+CA161+CF161</f>
        <v>1200000</v>
      </c>
      <c r="CQ161" s="791">
        <f>AD161+AI161+AN161+AS161+AX161+BC161+BH161+BM161+BR161+BW161+CB161+CG161</f>
        <v>0</v>
      </c>
      <c r="CR161" s="791">
        <f>AE161+AJ161+AO161+AT161+AY161+BD161+BI161+BN161+BS161+BX161+CC161+CH161</f>
        <v>0</v>
      </c>
      <c r="CS161" s="775">
        <f>CN161-CO161-CP161-CQ161-CR161</f>
        <v>0</v>
      </c>
      <c r="CT161" s="14"/>
    </row>
    <row r="162" spans="1:98" s="4" customFormat="1" ht="96" x14ac:dyDescent="0.3">
      <c r="A162" s="851"/>
      <c r="B162" s="860"/>
      <c r="C162" s="860"/>
      <c r="D162" s="734"/>
      <c r="E162" s="734"/>
      <c r="F162" s="192" t="s">
        <v>1003</v>
      </c>
      <c r="G162" s="187" t="s">
        <v>62</v>
      </c>
      <c r="H162" s="533">
        <v>97.4</v>
      </c>
      <c r="I162" s="187">
        <v>100</v>
      </c>
      <c r="J162" s="637">
        <v>100</v>
      </c>
      <c r="K162" s="289"/>
      <c r="L162" s="637">
        <v>100</v>
      </c>
      <c r="M162" s="643"/>
      <c r="N162" s="597"/>
      <c r="O162" s="518"/>
      <c r="P162" s="444"/>
      <c r="Q162" s="187">
        <v>100</v>
      </c>
      <c r="R162" s="187">
        <v>100</v>
      </c>
      <c r="S162" s="187">
        <v>100</v>
      </c>
      <c r="T162" s="187">
        <v>100</v>
      </c>
      <c r="U162" s="187">
        <v>100</v>
      </c>
      <c r="V162" s="187">
        <v>100</v>
      </c>
      <c r="W162" s="187">
        <v>100</v>
      </c>
      <c r="X162" s="187">
        <v>100</v>
      </c>
      <c r="Y162" s="187">
        <v>100</v>
      </c>
      <c r="Z162" s="187">
        <v>100</v>
      </c>
      <c r="AA162" s="798"/>
      <c r="AB162" s="769"/>
      <c r="AC162" s="769"/>
      <c r="AD162" s="769"/>
      <c r="AE162" s="769"/>
      <c r="AF162" s="798"/>
      <c r="AG162" s="769"/>
      <c r="AH162" s="769"/>
      <c r="AI162" s="769"/>
      <c r="AJ162" s="769"/>
      <c r="AK162" s="798"/>
      <c r="AL162" s="769"/>
      <c r="AM162" s="769"/>
      <c r="AN162" s="769"/>
      <c r="AO162" s="769"/>
      <c r="AP162" s="798"/>
      <c r="AQ162" s="769"/>
      <c r="AR162" s="769"/>
      <c r="AS162" s="769"/>
      <c r="AT162" s="769"/>
      <c r="AU162" s="798"/>
      <c r="AV162" s="769"/>
      <c r="AW162" s="769"/>
      <c r="AX162" s="769"/>
      <c r="AY162" s="769"/>
      <c r="AZ162" s="798"/>
      <c r="BA162" s="769"/>
      <c r="BB162" s="769"/>
      <c r="BC162" s="769"/>
      <c r="BD162" s="769"/>
      <c r="BE162" s="798"/>
      <c r="BF162" s="769"/>
      <c r="BG162" s="769"/>
      <c r="BH162" s="769"/>
      <c r="BI162" s="769"/>
      <c r="BJ162" s="798"/>
      <c r="BK162" s="769"/>
      <c r="BL162" s="769"/>
      <c r="BM162" s="769"/>
      <c r="BN162" s="769"/>
      <c r="BO162" s="798"/>
      <c r="BP162" s="769"/>
      <c r="BQ162" s="769"/>
      <c r="BR162" s="769"/>
      <c r="BS162" s="769"/>
      <c r="BT162" s="798"/>
      <c r="BU162" s="769"/>
      <c r="BV162" s="769"/>
      <c r="BW162" s="769"/>
      <c r="BX162" s="769"/>
      <c r="BY162" s="798"/>
      <c r="BZ162" s="769"/>
      <c r="CA162" s="769"/>
      <c r="CB162" s="769"/>
      <c r="CC162" s="769"/>
      <c r="CD162" s="798"/>
      <c r="CE162" s="769"/>
      <c r="CF162" s="769"/>
      <c r="CG162" s="769"/>
      <c r="CH162" s="769"/>
      <c r="CI162" s="799"/>
      <c r="CJ162" s="795"/>
      <c r="CK162" s="795"/>
      <c r="CL162" s="795"/>
      <c r="CM162" s="795"/>
      <c r="CN162" s="799"/>
      <c r="CO162" s="795"/>
      <c r="CP162" s="795"/>
      <c r="CQ162" s="795"/>
      <c r="CR162" s="795"/>
      <c r="CS162" s="823"/>
      <c r="CT162" s="14"/>
    </row>
    <row r="163" spans="1:98" s="4" customFormat="1" ht="72" x14ac:dyDescent="0.3">
      <c r="A163" s="797"/>
      <c r="B163" s="861"/>
      <c r="C163" s="861"/>
      <c r="D163" s="729"/>
      <c r="E163" s="729"/>
      <c r="F163" s="192" t="s">
        <v>1004</v>
      </c>
      <c r="G163" s="187" t="s">
        <v>62</v>
      </c>
      <c r="H163" s="533">
        <v>98.9</v>
      </c>
      <c r="I163" s="187">
        <v>99</v>
      </c>
      <c r="J163" s="637">
        <v>99</v>
      </c>
      <c r="K163" s="289"/>
      <c r="L163" s="637">
        <v>99</v>
      </c>
      <c r="M163" s="643"/>
      <c r="N163" s="597"/>
      <c r="O163" s="617"/>
      <c r="P163" s="444"/>
      <c r="Q163" s="187">
        <v>99</v>
      </c>
      <c r="R163" s="187">
        <v>99.1</v>
      </c>
      <c r="S163" s="187">
        <v>99.1</v>
      </c>
      <c r="T163" s="187">
        <v>99.1</v>
      </c>
      <c r="U163" s="187">
        <v>99.2</v>
      </c>
      <c r="V163" s="187">
        <v>99.3</v>
      </c>
      <c r="W163" s="187">
        <v>99.3</v>
      </c>
      <c r="X163" s="187">
        <v>99.4</v>
      </c>
      <c r="Y163" s="187">
        <v>99.4</v>
      </c>
      <c r="Z163" s="187">
        <v>99.5</v>
      </c>
      <c r="AA163" s="768"/>
      <c r="AB163" s="766"/>
      <c r="AC163" s="766"/>
      <c r="AD163" s="766"/>
      <c r="AE163" s="766"/>
      <c r="AF163" s="768"/>
      <c r="AG163" s="766"/>
      <c r="AH163" s="766"/>
      <c r="AI163" s="766"/>
      <c r="AJ163" s="766"/>
      <c r="AK163" s="768"/>
      <c r="AL163" s="766"/>
      <c r="AM163" s="766"/>
      <c r="AN163" s="766"/>
      <c r="AO163" s="766"/>
      <c r="AP163" s="768"/>
      <c r="AQ163" s="766"/>
      <c r="AR163" s="766"/>
      <c r="AS163" s="766"/>
      <c r="AT163" s="766"/>
      <c r="AU163" s="768"/>
      <c r="AV163" s="766"/>
      <c r="AW163" s="766"/>
      <c r="AX163" s="766"/>
      <c r="AY163" s="766"/>
      <c r="AZ163" s="768"/>
      <c r="BA163" s="766"/>
      <c r="BB163" s="766"/>
      <c r="BC163" s="766"/>
      <c r="BD163" s="766"/>
      <c r="BE163" s="768"/>
      <c r="BF163" s="766"/>
      <c r="BG163" s="766"/>
      <c r="BH163" s="766"/>
      <c r="BI163" s="766"/>
      <c r="BJ163" s="768"/>
      <c r="BK163" s="766"/>
      <c r="BL163" s="766"/>
      <c r="BM163" s="766"/>
      <c r="BN163" s="766"/>
      <c r="BO163" s="768"/>
      <c r="BP163" s="766"/>
      <c r="BQ163" s="766"/>
      <c r="BR163" s="766"/>
      <c r="BS163" s="766"/>
      <c r="BT163" s="768"/>
      <c r="BU163" s="766"/>
      <c r="BV163" s="766"/>
      <c r="BW163" s="766"/>
      <c r="BX163" s="766"/>
      <c r="BY163" s="768"/>
      <c r="BZ163" s="766"/>
      <c r="CA163" s="766"/>
      <c r="CB163" s="766"/>
      <c r="CC163" s="766"/>
      <c r="CD163" s="768"/>
      <c r="CE163" s="766"/>
      <c r="CF163" s="766"/>
      <c r="CG163" s="766"/>
      <c r="CH163" s="766"/>
      <c r="CI163" s="774"/>
      <c r="CJ163" s="792"/>
      <c r="CK163" s="792"/>
      <c r="CL163" s="792"/>
      <c r="CM163" s="792"/>
      <c r="CN163" s="774"/>
      <c r="CO163" s="792"/>
      <c r="CP163" s="792"/>
      <c r="CQ163" s="792"/>
      <c r="CR163" s="792"/>
      <c r="CS163" s="776"/>
      <c r="CT163" s="14"/>
    </row>
    <row r="164" spans="1:98" s="4" customFormat="1" ht="168" x14ac:dyDescent="0.3">
      <c r="A164" s="358" t="s">
        <v>317</v>
      </c>
      <c r="B164" s="356" t="s">
        <v>318</v>
      </c>
      <c r="C164" s="356" t="s">
        <v>1309</v>
      </c>
      <c r="D164" s="357" t="s">
        <v>319</v>
      </c>
      <c r="E164" s="357">
        <v>2024</v>
      </c>
      <c r="F164" s="334" t="s">
        <v>1005</v>
      </c>
      <c r="G164" s="357" t="s">
        <v>62</v>
      </c>
      <c r="H164" s="527"/>
      <c r="I164" s="353"/>
      <c r="J164" s="634"/>
      <c r="K164" s="353"/>
      <c r="L164" s="634"/>
      <c r="M164" s="657"/>
      <c r="N164" s="598"/>
      <c r="O164" s="617"/>
      <c r="P164" s="557"/>
      <c r="Q164" s="353"/>
      <c r="R164" s="353"/>
      <c r="S164" s="353"/>
      <c r="T164" s="353">
        <v>100</v>
      </c>
      <c r="U164" s="353"/>
      <c r="V164" s="353"/>
      <c r="W164" s="353"/>
      <c r="X164" s="353"/>
      <c r="Y164" s="353"/>
      <c r="Z164" s="353"/>
      <c r="AA164" s="342"/>
      <c r="AB164" s="341"/>
      <c r="AC164" s="341"/>
      <c r="AD164" s="341"/>
      <c r="AE164" s="341"/>
      <c r="AF164" s="342"/>
      <c r="AG164" s="341"/>
      <c r="AH164" s="341"/>
      <c r="AI164" s="341"/>
      <c r="AJ164" s="341"/>
      <c r="AK164" s="342"/>
      <c r="AL164" s="341"/>
      <c r="AM164" s="341"/>
      <c r="AN164" s="341"/>
      <c r="AO164" s="341"/>
      <c r="AP164" s="342"/>
      <c r="AQ164" s="341"/>
      <c r="AR164" s="341"/>
      <c r="AS164" s="341"/>
      <c r="AT164" s="341"/>
      <c r="AU164" s="342"/>
      <c r="AV164" s="341"/>
      <c r="AW164" s="341"/>
      <c r="AX164" s="341"/>
      <c r="AY164" s="341"/>
      <c r="AZ164" s="342">
        <f>SUM(BA164:BD164)</f>
        <v>500</v>
      </c>
      <c r="BA164" s="341"/>
      <c r="BB164" s="341">
        <v>500</v>
      </c>
      <c r="BC164" s="341"/>
      <c r="BD164" s="341"/>
      <c r="BE164" s="342"/>
      <c r="BF164" s="341"/>
      <c r="BG164" s="341"/>
      <c r="BH164" s="341"/>
      <c r="BI164" s="341"/>
      <c r="BJ164" s="342"/>
      <c r="BK164" s="341"/>
      <c r="BL164" s="341"/>
      <c r="BM164" s="341"/>
      <c r="BN164" s="341"/>
      <c r="BO164" s="342"/>
      <c r="BP164" s="341"/>
      <c r="BQ164" s="341"/>
      <c r="BR164" s="341"/>
      <c r="BS164" s="341"/>
      <c r="BT164" s="342"/>
      <c r="BU164" s="341"/>
      <c r="BV164" s="341"/>
      <c r="BW164" s="341"/>
      <c r="BX164" s="341"/>
      <c r="BY164" s="342"/>
      <c r="BZ164" s="341"/>
      <c r="CA164" s="341"/>
      <c r="CB164" s="341"/>
      <c r="CC164" s="341"/>
      <c r="CD164" s="342"/>
      <c r="CE164" s="341"/>
      <c r="CF164" s="341"/>
      <c r="CG164" s="341"/>
      <c r="CH164" s="341"/>
      <c r="CI164" s="352">
        <f t="shared" ref="CI164" si="464">AA164+AF164+AK164</f>
        <v>0</v>
      </c>
      <c r="CJ164" s="351">
        <f t="shared" ref="CJ164" si="465">AB164+AG164+AL164</f>
        <v>0</v>
      </c>
      <c r="CK164" s="351">
        <f t="shared" ref="CK164" si="466">AC164+AH164+AM164</f>
        <v>0</v>
      </c>
      <c r="CL164" s="351">
        <f t="shared" ref="CL164" si="467">AD164+AI164+AN164</f>
        <v>0</v>
      </c>
      <c r="CM164" s="351">
        <f t="shared" ref="CM164" si="468">AE164+AJ164+AO164</f>
        <v>0</v>
      </c>
      <c r="CN164" s="352">
        <f t="shared" ref="CN164:CN172" si="469">AA164+AF164+AK164+AP164+AU164+AZ164+BE164+BJ164+BO164+BT164+BY164+CD164</f>
        <v>500</v>
      </c>
      <c r="CO164" s="351">
        <f t="shared" ref="CO164:CO172" si="470">AB164+AG164+AL164+AQ164+AV164+BA164+BF164+BK164+BP164+BU164+BZ164+CE164</f>
        <v>0</v>
      </c>
      <c r="CP164" s="351">
        <f t="shared" ref="CP164:CP172" si="471">AC164+AH164+AM164+AR164+AW164+BB164+BG164+BL164+BQ164+BV164+CA164+CF164</f>
        <v>500</v>
      </c>
      <c r="CQ164" s="351">
        <f t="shared" ref="CQ164:CQ172" si="472">AD164+AI164+AN164+AS164+AX164+BC164+BH164+BM164+BR164+BW164+CB164+CG164</f>
        <v>0</v>
      </c>
      <c r="CR164" s="351">
        <f t="shared" ref="CR164:CR172" si="473">AE164+AJ164+AO164+AT164+AY164+BD164+BI164+BN164+BS164+BX164+CC164+CH164</f>
        <v>0</v>
      </c>
      <c r="CS164" s="352">
        <f>CN164-CO164-CP164-CQ164-CR164</f>
        <v>0</v>
      </c>
      <c r="CT164" s="14"/>
    </row>
    <row r="165" spans="1:98" s="4" customFormat="1" ht="216" x14ac:dyDescent="0.3">
      <c r="A165" s="358" t="s">
        <v>1254</v>
      </c>
      <c r="B165" s="356" t="s">
        <v>840</v>
      </c>
      <c r="C165" s="356" t="s">
        <v>1310</v>
      </c>
      <c r="D165" s="357" t="s">
        <v>1033</v>
      </c>
      <c r="E165" s="357" t="s">
        <v>209</v>
      </c>
      <c r="F165" s="334" t="s">
        <v>1013</v>
      </c>
      <c r="G165" s="357" t="s">
        <v>62</v>
      </c>
      <c r="H165" s="527"/>
      <c r="I165" s="353"/>
      <c r="J165" s="634"/>
      <c r="K165" s="353"/>
      <c r="L165" s="634"/>
      <c r="M165" s="657"/>
      <c r="N165" s="598"/>
      <c r="O165" s="617"/>
      <c r="P165" s="557"/>
      <c r="Q165" s="353"/>
      <c r="R165" s="353"/>
      <c r="S165" s="353"/>
      <c r="T165" s="353"/>
      <c r="U165" s="353">
        <v>50</v>
      </c>
      <c r="V165" s="353">
        <v>100</v>
      </c>
      <c r="W165" s="353"/>
      <c r="X165" s="353"/>
      <c r="Y165" s="353"/>
      <c r="Z165" s="353"/>
      <c r="AA165" s="342"/>
      <c r="AB165" s="341"/>
      <c r="AC165" s="341"/>
      <c r="AD165" s="341"/>
      <c r="AE165" s="341"/>
      <c r="AF165" s="342"/>
      <c r="AG165" s="341"/>
      <c r="AH165" s="341"/>
      <c r="AI165" s="341"/>
      <c r="AJ165" s="341"/>
      <c r="AK165" s="342"/>
      <c r="AL165" s="341"/>
      <c r="AM165" s="341"/>
      <c r="AN165" s="341"/>
      <c r="AO165" s="341"/>
      <c r="AP165" s="342"/>
      <c r="AQ165" s="341"/>
      <c r="AR165" s="341"/>
      <c r="AS165" s="341"/>
      <c r="AT165" s="341"/>
      <c r="AU165" s="342"/>
      <c r="AV165" s="341"/>
      <c r="AW165" s="341"/>
      <c r="AX165" s="341"/>
      <c r="AY165" s="341"/>
      <c r="AZ165" s="342">
        <f t="shared" ref="AZ165" si="474">SUM(BA165:BD165)</f>
        <v>0</v>
      </c>
      <c r="BA165" s="341"/>
      <c r="BB165" s="341"/>
      <c r="BC165" s="341"/>
      <c r="BD165" s="341"/>
      <c r="BE165" s="342">
        <f t="shared" ref="BE165" si="475">SUM(BF165:BI165)</f>
        <v>0</v>
      </c>
      <c r="BF165" s="341"/>
      <c r="BG165" s="341"/>
      <c r="BH165" s="341"/>
      <c r="BI165" s="341"/>
      <c r="BJ165" s="342">
        <f t="shared" ref="BJ165" si="476">SUM(BK165:BN165)</f>
        <v>0</v>
      </c>
      <c r="BK165" s="341"/>
      <c r="BL165" s="341"/>
      <c r="BM165" s="341"/>
      <c r="BN165" s="341"/>
      <c r="BO165" s="342"/>
      <c r="BP165" s="341"/>
      <c r="BQ165" s="341"/>
      <c r="BR165" s="341"/>
      <c r="BS165" s="341"/>
      <c r="BT165" s="342"/>
      <c r="BU165" s="341"/>
      <c r="BV165" s="341"/>
      <c r="BW165" s="341"/>
      <c r="BX165" s="341"/>
      <c r="BY165" s="342"/>
      <c r="BZ165" s="341"/>
      <c r="CA165" s="341"/>
      <c r="CB165" s="341"/>
      <c r="CC165" s="341"/>
      <c r="CD165" s="342"/>
      <c r="CE165" s="341"/>
      <c r="CF165" s="341"/>
      <c r="CG165" s="341"/>
      <c r="CH165" s="341"/>
      <c r="CI165" s="352">
        <f t="shared" ref="CI165:CI167" si="477">AA165+AF165+AK165</f>
        <v>0</v>
      </c>
      <c r="CJ165" s="351">
        <f t="shared" ref="CJ165:CJ167" si="478">AB165+AG165+AL165</f>
        <v>0</v>
      </c>
      <c r="CK165" s="351">
        <f t="shared" ref="CK165:CK167" si="479">AC165+AH165+AM165</f>
        <v>0</v>
      </c>
      <c r="CL165" s="351">
        <f t="shared" ref="CL165:CL167" si="480">AD165+AI165+AN165</f>
        <v>0</v>
      </c>
      <c r="CM165" s="351">
        <f t="shared" ref="CM165:CM167" si="481">AE165+AJ165+AO165</f>
        <v>0</v>
      </c>
      <c r="CN165" s="352">
        <f t="shared" si="469"/>
        <v>0</v>
      </c>
      <c r="CO165" s="351">
        <f t="shared" si="470"/>
        <v>0</v>
      </c>
      <c r="CP165" s="351">
        <f t="shared" si="471"/>
        <v>0</v>
      </c>
      <c r="CQ165" s="351">
        <f t="shared" si="472"/>
        <v>0</v>
      </c>
      <c r="CR165" s="351">
        <f t="shared" si="473"/>
        <v>0</v>
      </c>
      <c r="CS165" s="352">
        <f t="shared" ref="CS165:CS172" si="482">CN165-CO165-CP165-CQ165-CR165</f>
        <v>0</v>
      </c>
      <c r="CT165" s="14"/>
    </row>
    <row r="166" spans="1:98" s="4" customFormat="1" ht="192" x14ac:dyDescent="0.3">
      <c r="A166" s="358" t="s">
        <v>1097</v>
      </c>
      <c r="B166" s="356" t="s">
        <v>339</v>
      </c>
      <c r="C166" s="356" t="s">
        <v>1311</v>
      </c>
      <c r="D166" s="357" t="s">
        <v>329</v>
      </c>
      <c r="E166" s="357" t="s">
        <v>1193</v>
      </c>
      <c r="F166" s="334" t="s">
        <v>1008</v>
      </c>
      <c r="G166" s="357" t="s">
        <v>62</v>
      </c>
      <c r="H166" s="527"/>
      <c r="I166" s="353"/>
      <c r="J166" s="634"/>
      <c r="K166" s="353"/>
      <c r="L166" s="634"/>
      <c r="M166" s="657"/>
      <c r="N166" s="598"/>
      <c r="O166" s="617"/>
      <c r="P166" s="557"/>
      <c r="Q166" s="353"/>
      <c r="R166" s="353"/>
      <c r="S166" s="353"/>
      <c r="T166" s="353">
        <v>30</v>
      </c>
      <c r="U166" s="353">
        <v>70</v>
      </c>
      <c r="V166" s="353"/>
      <c r="W166" s="353"/>
      <c r="X166" s="353"/>
      <c r="Y166" s="353"/>
      <c r="Z166" s="353"/>
      <c r="AA166" s="342"/>
      <c r="AB166" s="341"/>
      <c r="AC166" s="341"/>
      <c r="AD166" s="341"/>
      <c r="AE166" s="341"/>
      <c r="AF166" s="342"/>
      <c r="AG166" s="341"/>
      <c r="AH166" s="341"/>
      <c r="AI166" s="341"/>
      <c r="AJ166" s="341"/>
      <c r="AK166" s="342"/>
      <c r="AL166" s="341"/>
      <c r="AM166" s="341"/>
      <c r="AN166" s="341"/>
      <c r="AO166" s="341"/>
      <c r="AP166" s="342"/>
      <c r="AQ166" s="341"/>
      <c r="AR166" s="341"/>
      <c r="AS166" s="341"/>
      <c r="AT166" s="341"/>
      <c r="AU166" s="342"/>
      <c r="AV166" s="341"/>
      <c r="AW166" s="341"/>
      <c r="AX166" s="341"/>
      <c r="AY166" s="341"/>
      <c r="AZ166" s="342">
        <f>SUM(BA166:BD166)</f>
        <v>192</v>
      </c>
      <c r="BA166" s="341"/>
      <c r="BB166" s="341">
        <v>192</v>
      </c>
      <c r="BC166" s="341"/>
      <c r="BD166" s="341"/>
      <c r="BE166" s="342">
        <f>SUM(BF166:BI166)</f>
        <v>448</v>
      </c>
      <c r="BF166" s="341"/>
      <c r="BG166" s="341">
        <v>448</v>
      </c>
      <c r="BH166" s="341"/>
      <c r="BI166" s="341"/>
      <c r="BJ166" s="342"/>
      <c r="BK166" s="341"/>
      <c r="BL166" s="341"/>
      <c r="BM166" s="341"/>
      <c r="BN166" s="341"/>
      <c r="BO166" s="342"/>
      <c r="BP166" s="341"/>
      <c r="BQ166" s="341"/>
      <c r="BR166" s="341"/>
      <c r="BS166" s="341"/>
      <c r="BT166" s="342"/>
      <c r="BU166" s="341"/>
      <c r="BV166" s="341"/>
      <c r="BW166" s="341"/>
      <c r="BX166" s="341"/>
      <c r="BY166" s="342"/>
      <c r="BZ166" s="341"/>
      <c r="CA166" s="341"/>
      <c r="CB166" s="341"/>
      <c r="CC166" s="341"/>
      <c r="CD166" s="342"/>
      <c r="CE166" s="341"/>
      <c r="CF166" s="341"/>
      <c r="CG166" s="341"/>
      <c r="CH166" s="341"/>
      <c r="CI166" s="352">
        <f t="shared" si="477"/>
        <v>0</v>
      </c>
      <c r="CJ166" s="351">
        <f t="shared" si="478"/>
        <v>0</v>
      </c>
      <c r="CK166" s="351">
        <f t="shared" si="479"/>
        <v>0</v>
      </c>
      <c r="CL166" s="351">
        <f t="shared" si="480"/>
        <v>0</v>
      </c>
      <c r="CM166" s="351">
        <f t="shared" si="481"/>
        <v>0</v>
      </c>
      <c r="CN166" s="352">
        <f t="shared" si="469"/>
        <v>640</v>
      </c>
      <c r="CO166" s="351">
        <f t="shared" si="470"/>
        <v>0</v>
      </c>
      <c r="CP166" s="351">
        <f t="shared" si="471"/>
        <v>640</v>
      </c>
      <c r="CQ166" s="351">
        <f t="shared" si="472"/>
        <v>0</v>
      </c>
      <c r="CR166" s="351">
        <f t="shared" si="473"/>
        <v>0</v>
      </c>
      <c r="CS166" s="352">
        <f t="shared" si="482"/>
        <v>0</v>
      </c>
      <c r="CT166" s="14"/>
    </row>
    <row r="167" spans="1:98" s="4" customFormat="1" ht="216" x14ac:dyDescent="0.3">
      <c r="A167" s="358" t="s">
        <v>324</v>
      </c>
      <c r="B167" s="356" t="s">
        <v>331</v>
      </c>
      <c r="C167" s="356" t="s">
        <v>1257</v>
      </c>
      <c r="D167" s="357" t="s">
        <v>329</v>
      </c>
      <c r="E167" s="357">
        <v>2025</v>
      </c>
      <c r="F167" s="334" t="s">
        <v>1009</v>
      </c>
      <c r="G167" s="357" t="s">
        <v>62</v>
      </c>
      <c r="H167" s="527"/>
      <c r="I167" s="353"/>
      <c r="J167" s="634"/>
      <c r="K167" s="353"/>
      <c r="L167" s="634"/>
      <c r="M167" s="657"/>
      <c r="N167" s="598"/>
      <c r="O167" s="617"/>
      <c r="P167" s="557"/>
      <c r="Q167" s="353"/>
      <c r="R167" s="353"/>
      <c r="S167" s="353"/>
      <c r="T167" s="353"/>
      <c r="U167" s="353">
        <v>100</v>
      </c>
      <c r="V167" s="353"/>
      <c r="W167" s="353"/>
      <c r="X167" s="353"/>
      <c r="Y167" s="353"/>
      <c r="Z167" s="353"/>
      <c r="AA167" s="342"/>
      <c r="AB167" s="341"/>
      <c r="AC167" s="341"/>
      <c r="AD167" s="341"/>
      <c r="AE167" s="341"/>
      <c r="AF167" s="342"/>
      <c r="AG167" s="341"/>
      <c r="AH167" s="341"/>
      <c r="AI167" s="341"/>
      <c r="AJ167" s="341"/>
      <c r="AK167" s="342"/>
      <c r="AL167" s="341"/>
      <c r="AM167" s="341"/>
      <c r="AN167" s="341"/>
      <c r="AO167" s="341"/>
      <c r="AP167" s="342"/>
      <c r="AQ167" s="341"/>
      <c r="AR167" s="341"/>
      <c r="AS167" s="341"/>
      <c r="AT167" s="341"/>
      <c r="AU167" s="342"/>
      <c r="AV167" s="341"/>
      <c r="AW167" s="341"/>
      <c r="AX167" s="341"/>
      <c r="AY167" s="341"/>
      <c r="AZ167" s="342"/>
      <c r="BA167" s="341"/>
      <c r="BB167" s="341"/>
      <c r="BC167" s="341"/>
      <c r="BD167" s="341"/>
      <c r="BE167" s="342">
        <f>SUM(BF167:BI167)</f>
        <v>1300</v>
      </c>
      <c r="BF167" s="341"/>
      <c r="BG167" s="341">
        <v>1300</v>
      </c>
      <c r="BH167" s="341"/>
      <c r="BI167" s="341"/>
      <c r="BJ167" s="342"/>
      <c r="BK167" s="341"/>
      <c r="BL167" s="341"/>
      <c r="BM167" s="341"/>
      <c r="BN167" s="341"/>
      <c r="BO167" s="342"/>
      <c r="BP167" s="341"/>
      <c r="BQ167" s="341"/>
      <c r="BR167" s="341"/>
      <c r="BS167" s="341"/>
      <c r="BT167" s="342"/>
      <c r="BU167" s="341"/>
      <c r="BV167" s="341"/>
      <c r="BW167" s="341"/>
      <c r="BX167" s="341"/>
      <c r="BY167" s="342"/>
      <c r="BZ167" s="341"/>
      <c r="CA167" s="341"/>
      <c r="CB167" s="341"/>
      <c r="CC167" s="341"/>
      <c r="CD167" s="342"/>
      <c r="CE167" s="341"/>
      <c r="CF167" s="341"/>
      <c r="CG167" s="341"/>
      <c r="CH167" s="341"/>
      <c r="CI167" s="352">
        <f t="shared" si="477"/>
        <v>0</v>
      </c>
      <c r="CJ167" s="351">
        <f t="shared" si="478"/>
        <v>0</v>
      </c>
      <c r="CK167" s="351">
        <f t="shared" si="479"/>
        <v>0</v>
      </c>
      <c r="CL167" s="351">
        <f t="shared" si="480"/>
        <v>0</v>
      </c>
      <c r="CM167" s="351">
        <f t="shared" si="481"/>
        <v>0</v>
      </c>
      <c r="CN167" s="352">
        <f t="shared" si="469"/>
        <v>1300</v>
      </c>
      <c r="CO167" s="351">
        <f t="shared" si="470"/>
        <v>0</v>
      </c>
      <c r="CP167" s="351">
        <f t="shared" si="471"/>
        <v>1300</v>
      </c>
      <c r="CQ167" s="351">
        <f t="shared" si="472"/>
        <v>0</v>
      </c>
      <c r="CR167" s="351">
        <f t="shared" si="473"/>
        <v>0</v>
      </c>
      <c r="CS167" s="352">
        <f t="shared" si="482"/>
        <v>0</v>
      </c>
      <c r="CT167" s="14"/>
    </row>
    <row r="168" spans="1:98" s="4" customFormat="1" ht="264" x14ac:dyDescent="0.3">
      <c r="A168" s="693" t="s">
        <v>1255</v>
      </c>
      <c r="B168" s="681" t="s">
        <v>332</v>
      </c>
      <c r="C168" s="681" t="s">
        <v>1256</v>
      </c>
      <c r="D168" s="690" t="s">
        <v>329</v>
      </c>
      <c r="E168" s="690" t="s">
        <v>333</v>
      </c>
      <c r="F168" s="684" t="s">
        <v>323</v>
      </c>
      <c r="G168" s="690" t="s">
        <v>62</v>
      </c>
      <c r="H168" s="675"/>
      <c r="I168" s="675"/>
      <c r="J168" s="675"/>
      <c r="K168" s="675"/>
      <c r="L168" s="675"/>
      <c r="M168" s="657">
        <v>100</v>
      </c>
      <c r="N168" s="699"/>
      <c r="O168" s="699"/>
      <c r="P168" s="699"/>
      <c r="Q168" s="675">
        <v>20</v>
      </c>
      <c r="R168" s="675">
        <v>80</v>
      </c>
      <c r="S168" s="675"/>
      <c r="T168" s="675"/>
      <c r="U168" s="675"/>
      <c r="V168" s="675"/>
      <c r="W168" s="675"/>
      <c r="X168" s="675"/>
      <c r="Y168" s="675"/>
      <c r="Z168" s="675"/>
      <c r="AA168" s="694"/>
      <c r="AB168" s="689"/>
      <c r="AC168" s="689"/>
      <c r="AD168" s="689"/>
      <c r="AE168" s="689"/>
      <c r="AF168" s="694"/>
      <c r="AG168" s="689"/>
      <c r="AH168" s="689"/>
      <c r="AI168" s="689"/>
      <c r="AJ168" s="689"/>
      <c r="AK168" s="694">
        <f t="shared" ref="AK168:AK171" si="483">SUM(AL168:AO168)</f>
        <v>173</v>
      </c>
      <c r="AL168" s="689"/>
      <c r="AM168" s="689">
        <f>100+73</f>
        <v>173</v>
      </c>
      <c r="AN168" s="689"/>
      <c r="AO168" s="689"/>
      <c r="AP168" s="694">
        <f t="shared" ref="AP168" si="484">SUM(AQ168:AT168)</f>
        <v>692</v>
      </c>
      <c r="AQ168" s="689"/>
      <c r="AR168" s="689">
        <f>400+292</f>
        <v>692</v>
      </c>
      <c r="AS168" s="689"/>
      <c r="AT168" s="689"/>
      <c r="AU168" s="694"/>
      <c r="AV168" s="689"/>
      <c r="AW168" s="689"/>
      <c r="AX168" s="689"/>
      <c r="AY168" s="689"/>
      <c r="AZ168" s="694"/>
      <c r="BA168" s="689"/>
      <c r="BB168" s="689"/>
      <c r="BC168" s="689"/>
      <c r="BD168" s="689"/>
      <c r="BE168" s="694"/>
      <c r="BF168" s="689"/>
      <c r="BG168" s="689"/>
      <c r="BH168" s="689"/>
      <c r="BI168" s="689"/>
      <c r="BJ168" s="694"/>
      <c r="BK168" s="689"/>
      <c r="BL168" s="689"/>
      <c r="BM168" s="689"/>
      <c r="BN168" s="689"/>
      <c r="BO168" s="694"/>
      <c r="BP168" s="689"/>
      <c r="BQ168" s="689"/>
      <c r="BR168" s="689"/>
      <c r="BS168" s="689"/>
      <c r="BT168" s="694"/>
      <c r="BU168" s="689"/>
      <c r="BV168" s="689"/>
      <c r="BW168" s="689"/>
      <c r="BX168" s="689"/>
      <c r="BY168" s="694"/>
      <c r="BZ168" s="689"/>
      <c r="CA168" s="689"/>
      <c r="CB168" s="689"/>
      <c r="CC168" s="689"/>
      <c r="CD168" s="694"/>
      <c r="CE168" s="689"/>
      <c r="CF168" s="689"/>
      <c r="CG168" s="689"/>
      <c r="CH168" s="689"/>
      <c r="CI168" s="691">
        <f t="shared" ref="CI168:CI171" si="485">AA168+AF168+AK168</f>
        <v>173</v>
      </c>
      <c r="CJ168" s="692">
        <f t="shared" ref="CJ168:CJ171" si="486">AB168+AG168+AL168</f>
        <v>0</v>
      </c>
      <c r="CK168" s="692">
        <f t="shared" ref="CK168:CK171" si="487">AC168+AH168+AM168</f>
        <v>173</v>
      </c>
      <c r="CL168" s="692">
        <f t="shared" ref="CL168:CL171" si="488">AD168+AI168+AN168</f>
        <v>0</v>
      </c>
      <c r="CM168" s="692">
        <f t="shared" ref="CM168:CM171" si="489">AE168+AJ168+AO168</f>
        <v>0</v>
      </c>
      <c r="CN168" s="691">
        <f t="shared" si="469"/>
        <v>865</v>
      </c>
      <c r="CO168" s="692">
        <f t="shared" si="470"/>
        <v>0</v>
      </c>
      <c r="CP168" s="692">
        <f t="shared" si="471"/>
        <v>865</v>
      </c>
      <c r="CQ168" s="692">
        <f t="shared" si="472"/>
        <v>0</v>
      </c>
      <c r="CR168" s="692">
        <f t="shared" si="473"/>
        <v>0</v>
      </c>
      <c r="CS168" s="691">
        <f t="shared" si="482"/>
        <v>0</v>
      </c>
      <c r="CT168" s="14"/>
    </row>
    <row r="169" spans="1:98" s="4" customFormat="1" ht="409.5" x14ac:dyDescent="0.3">
      <c r="A169" s="358" t="s">
        <v>326</v>
      </c>
      <c r="B169" s="356" t="s">
        <v>334</v>
      </c>
      <c r="C169" s="356" t="s">
        <v>335</v>
      </c>
      <c r="D169" s="357" t="s">
        <v>329</v>
      </c>
      <c r="E169" s="357" t="s">
        <v>217</v>
      </c>
      <c r="F169" s="334" t="s">
        <v>1010</v>
      </c>
      <c r="G169" s="357" t="s">
        <v>62</v>
      </c>
      <c r="H169" s="527"/>
      <c r="I169" s="353"/>
      <c r="J169" s="634"/>
      <c r="K169" s="353"/>
      <c r="L169" s="634"/>
      <c r="M169" s="657"/>
      <c r="N169" s="598"/>
      <c r="O169" s="617"/>
      <c r="P169" s="557"/>
      <c r="Q169" s="353"/>
      <c r="R169" s="353">
        <v>50</v>
      </c>
      <c r="S169" s="353">
        <v>50</v>
      </c>
      <c r="T169" s="353"/>
      <c r="U169" s="353"/>
      <c r="V169" s="353"/>
      <c r="W169" s="353"/>
      <c r="X169" s="353"/>
      <c r="Y169" s="353"/>
      <c r="Z169" s="353"/>
      <c r="AA169" s="342"/>
      <c r="AB169" s="341"/>
      <c r="AC169" s="341"/>
      <c r="AD169" s="341"/>
      <c r="AE169" s="341"/>
      <c r="AF169" s="342"/>
      <c r="AG169" s="341"/>
      <c r="AH169" s="341"/>
      <c r="AI169" s="341"/>
      <c r="AJ169" s="341"/>
      <c r="AK169" s="342"/>
      <c r="AL169" s="341"/>
      <c r="AM169" s="341"/>
      <c r="AN169" s="341"/>
      <c r="AO169" s="341"/>
      <c r="AP169" s="342"/>
      <c r="AQ169" s="341"/>
      <c r="AR169" s="341"/>
      <c r="AS169" s="341"/>
      <c r="AT169" s="341"/>
      <c r="AU169" s="342">
        <f t="shared" ref="AU169:AU170" si="490">SUM(AV169:AY169)</f>
        <v>450</v>
      </c>
      <c r="AV169" s="341"/>
      <c r="AW169" s="341">
        <v>450</v>
      </c>
      <c r="AX169" s="341"/>
      <c r="AY169" s="341"/>
      <c r="AZ169" s="342">
        <f>SUM(BA169:BD169)</f>
        <v>450</v>
      </c>
      <c r="BA169" s="341"/>
      <c r="BB169" s="341">
        <v>450</v>
      </c>
      <c r="BC169" s="341"/>
      <c r="BD169" s="341"/>
      <c r="BE169" s="342"/>
      <c r="BF169" s="341"/>
      <c r="BG169" s="341"/>
      <c r="BH169" s="341"/>
      <c r="BI169" s="341"/>
      <c r="BJ169" s="342"/>
      <c r="BK169" s="341"/>
      <c r="BL169" s="341"/>
      <c r="BM169" s="341"/>
      <c r="BN169" s="341"/>
      <c r="BO169" s="342"/>
      <c r="BP169" s="341"/>
      <c r="BQ169" s="341"/>
      <c r="BR169" s="341"/>
      <c r="BS169" s="341"/>
      <c r="BT169" s="342"/>
      <c r="BU169" s="341"/>
      <c r="BV169" s="341"/>
      <c r="BW169" s="341"/>
      <c r="BX169" s="341"/>
      <c r="BY169" s="342"/>
      <c r="BZ169" s="341"/>
      <c r="CA169" s="341"/>
      <c r="CB169" s="341"/>
      <c r="CC169" s="341"/>
      <c r="CD169" s="342"/>
      <c r="CE169" s="341"/>
      <c r="CF169" s="341"/>
      <c r="CG169" s="341"/>
      <c r="CH169" s="341"/>
      <c r="CI169" s="352">
        <f t="shared" si="485"/>
        <v>0</v>
      </c>
      <c r="CJ169" s="351">
        <f t="shared" si="486"/>
        <v>0</v>
      </c>
      <c r="CK169" s="351">
        <f t="shared" si="487"/>
        <v>0</v>
      </c>
      <c r="CL169" s="351">
        <f t="shared" si="488"/>
        <v>0</v>
      </c>
      <c r="CM169" s="351">
        <f t="shared" si="489"/>
        <v>0</v>
      </c>
      <c r="CN169" s="352">
        <f t="shared" si="469"/>
        <v>900</v>
      </c>
      <c r="CO169" s="351">
        <f t="shared" si="470"/>
        <v>0</v>
      </c>
      <c r="CP169" s="351">
        <f t="shared" si="471"/>
        <v>900</v>
      </c>
      <c r="CQ169" s="351">
        <f t="shared" si="472"/>
        <v>0</v>
      </c>
      <c r="CR169" s="351">
        <f t="shared" si="473"/>
        <v>0</v>
      </c>
      <c r="CS169" s="352">
        <f t="shared" si="482"/>
        <v>0</v>
      </c>
      <c r="CT169" s="14"/>
    </row>
    <row r="170" spans="1:98" s="4" customFormat="1" ht="240" x14ac:dyDescent="0.3">
      <c r="A170" s="358" t="s">
        <v>1098</v>
      </c>
      <c r="B170" s="356" t="s">
        <v>337</v>
      </c>
      <c r="C170" s="356" t="s">
        <v>338</v>
      </c>
      <c r="D170" s="357" t="s">
        <v>329</v>
      </c>
      <c r="E170" s="357" t="s">
        <v>217</v>
      </c>
      <c r="F170" s="334" t="s">
        <v>1011</v>
      </c>
      <c r="G170" s="357" t="s">
        <v>62</v>
      </c>
      <c r="H170" s="527"/>
      <c r="I170" s="353"/>
      <c r="J170" s="634"/>
      <c r="K170" s="353"/>
      <c r="L170" s="634"/>
      <c r="M170" s="657"/>
      <c r="N170" s="598"/>
      <c r="O170" s="617"/>
      <c r="P170" s="557"/>
      <c r="Q170" s="353"/>
      <c r="R170" s="353"/>
      <c r="S170" s="353">
        <v>50</v>
      </c>
      <c r="T170" s="353">
        <v>50</v>
      </c>
      <c r="U170" s="353"/>
      <c r="V170" s="353"/>
      <c r="W170" s="353"/>
      <c r="X170" s="353"/>
      <c r="Y170" s="353"/>
      <c r="Z170" s="353"/>
      <c r="AA170" s="342"/>
      <c r="AB170" s="341"/>
      <c r="AC170" s="341"/>
      <c r="AD170" s="341"/>
      <c r="AE170" s="341"/>
      <c r="AF170" s="342"/>
      <c r="AG170" s="341"/>
      <c r="AH170" s="341"/>
      <c r="AI170" s="341"/>
      <c r="AJ170" s="341"/>
      <c r="AK170" s="342"/>
      <c r="AL170" s="341"/>
      <c r="AM170" s="341"/>
      <c r="AN170" s="341"/>
      <c r="AO170" s="341"/>
      <c r="AP170" s="342"/>
      <c r="AQ170" s="341"/>
      <c r="AR170" s="341"/>
      <c r="AS170" s="341"/>
      <c r="AT170" s="341"/>
      <c r="AU170" s="342">
        <f t="shared" si="490"/>
        <v>200</v>
      </c>
      <c r="AV170" s="341"/>
      <c r="AW170" s="341">
        <v>200</v>
      </c>
      <c r="AX170" s="341"/>
      <c r="AY170" s="341"/>
      <c r="AZ170" s="342">
        <f>SUM(BA170:BD170)</f>
        <v>200</v>
      </c>
      <c r="BA170" s="341"/>
      <c r="BB170" s="341">
        <v>200</v>
      </c>
      <c r="BC170" s="341"/>
      <c r="BD170" s="341"/>
      <c r="BE170" s="342"/>
      <c r="BF170" s="341"/>
      <c r="BG170" s="341"/>
      <c r="BH170" s="341"/>
      <c r="BI170" s="341"/>
      <c r="BJ170" s="342"/>
      <c r="BK170" s="341"/>
      <c r="BL170" s="341"/>
      <c r="BM170" s="341"/>
      <c r="BN170" s="341"/>
      <c r="BO170" s="342"/>
      <c r="BP170" s="341"/>
      <c r="BQ170" s="341"/>
      <c r="BR170" s="341"/>
      <c r="BS170" s="341"/>
      <c r="BT170" s="342"/>
      <c r="BU170" s="341"/>
      <c r="BV170" s="341"/>
      <c r="BW170" s="341"/>
      <c r="BX170" s="341"/>
      <c r="BY170" s="342"/>
      <c r="BZ170" s="341"/>
      <c r="CA170" s="341"/>
      <c r="CB170" s="341"/>
      <c r="CC170" s="341"/>
      <c r="CD170" s="342"/>
      <c r="CE170" s="341"/>
      <c r="CF170" s="341"/>
      <c r="CG170" s="341"/>
      <c r="CH170" s="341"/>
      <c r="CI170" s="352">
        <f t="shared" si="485"/>
        <v>0</v>
      </c>
      <c r="CJ170" s="351">
        <f t="shared" si="486"/>
        <v>0</v>
      </c>
      <c r="CK170" s="351">
        <f t="shared" si="487"/>
        <v>0</v>
      </c>
      <c r="CL170" s="351">
        <f t="shared" si="488"/>
        <v>0</v>
      </c>
      <c r="CM170" s="351">
        <f t="shared" si="489"/>
        <v>0</v>
      </c>
      <c r="CN170" s="352">
        <f t="shared" si="469"/>
        <v>400</v>
      </c>
      <c r="CO170" s="351">
        <f t="shared" si="470"/>
        <v>0</v>
      </c>
      <c r="CP170" s="351">
        <f t="shared" si="471"/>
        <v>400</v>
      </c>
      <c r="CQ170" s="351">
        <f t="shared" si="472"/>
        <v>0</v>
      </c>
      <c r="CR170" s="351">
        <f t="shared" si="473"/>
        <v>0</v>
      </c>
      <c r="CS170" s="352">
        <f t="shared" si="482"/>
        <v>0</v>
      </c>
      <c r="CT170" s="14"/>
    </row>
    <row r="171" spans="1:98" s="4" customFormat="1" ht="120" x14ac:dyDescent="0.3">
      <c r="A171" s="358" t="s">
        <v>327</v>
      </c>
      <c r="B171" s="356" t="s">
        <v>340</v>
      </c>
      <c r="C171" s="356" t="s">
        <v>341</v>
      </c>
      <c r="D171" s="357" t="s">
        <v>329</v>
      </c>
      <c r="E171" s="357">
        <v>2021</v>
      </c>
      <c r="F171" s="334" t="s">
        <v>1012</v>
      </c>
      <c r="G171" s="357" t="s">
        <v>62</v>
      </c>
      <c r="H171" s="527"/>
      <c r="I171" s="353"/>
      <c r="J171" s="634"/>
      <c r="K171" s="353"/>
      <c r="L171" s="634">
        <v>50</v>
      </c>
      <c r="M171" s="657">
        <v>100</v>
      </c>
      <c r="N171" s="598"/>
      <c r="O171" s="674"/>
      <c r="P171" s="672"/>
      <c r="Q171" s="353">
        <v>50</v>
      </c>
      <c r="R171" s="353">
        <v>70</v>
      </c>
      <c r="S171" s="353">
        <v>100</v>
      </c>
      <c r="T171" s="353"/>
      <c r="U171" s="353"/>
      <c r="V171" s="353"/>
      <c r="W171" s="353"/>
      <c r="X171" s="353"/>
      <c r="Y171" s="353"/>
      <c r="Z171" s="353"/>
      <c r="AA171" s="342"/>
      <c r="AB171" s="341"/>
      <c r="AC171" s="341"/>
      <c r="AD171" s="341"/>
      <c r="AE171" s="341"/>
      <c r="AF171" s="342"/>
      <c r="AG171" s="341"/>
      <c r="AH171" s="341"/>
      <c r="AI171" s="341"/>
      <c r="AJ171" s="341"/>
      <c r="AK171" s="342">
        <f t="shared" si="483"/>
        <v>57</v>
      </c>
      <c r="AL171" s="341"/>
      <c r="AM171" s="341">
        <f>27+30</f>
        <v>57</v>
      </c>
      <c r="AN171" s="341"/>
      <c r="AO171" s="341"/>
      <c r="AP171" s="342"/>
      <c r="AQ171" s="341"/>
      <c r="AR171" s="341"/>
      <c r="AS171" s="341"/>
      <c r="AT171" s="341"/>
      <c r="AU171" s="342"/>
      <c r="AV171" s="341"/>
      <c r="AW171" s="341"/>
      <c r="AX171" s="341"/>
      <c r="AY171" s="341"/>
      <c r="AZ171" s="342"/>
      <c r="BA171" s="341"/>
      <c r="BB171" s="341"/>
      <c r="BC171" s="341"/>
      <c r="BD171" s="341"/>
      <c r="BE171" s="342"/>
      <c r="BF171" s="341"/>
      <c r="BG171" s="341"/>
      <c r="BH171" s="341"/>
      <c r="BI171" s="341"/>
      <c r="BJ171" s="342"/>
      <c r="BK171" s="341"/>
      <c r="BL171" s="341"/>
      <c r="BM171" s="341"/>
      <c r="BN171" s="341"/>
      <c r="BO171" s="342"/>
      <c r="BP171" s="341"/>
      <c r="BQ171" s="341"/>
      <c r="BR171" s="341"/>
      <c r="BS171" s="341"/>
      <c r="BT171" s="342"/>
      <c r="BU171" s="341"/>
      <c r="BV171" s="341"/>
      <c r="BW171" s="341"/>
      <c r="BX171" s="341"/>
      <c r="BY171" s="342"/>
      <c r="BZ171" s="341"/>
      <c r="CA171" s="341"/>
      <c r="CB171" s="341"/>
      <c r="CC171" s="341"/>
      <c r="CD171" s="342"/>
      <c r="CE171" s="341"/>
      <c r="CF171" s="341"/>
      <c r="CG171" s="341"/>
      <c r="CH171" s="341"/>
      <c r="CI171" s="352">
        <f t="shared" si="485"/>
        <v>57</v>
      </c>
      <c r="CJ171" s="351">
        <f t="shared" si="486"/>
        <v>0</v>
      </c>
      <c r="CK171" s="351">
        <f t="shared" si="487"/>
        <v>57</v>
      </c>
      <c r="CL171" s="351">
        <f t="shared" si="488"/>
        <v>0</v>
      </c>
      <c r="CM171" s="351">
        <f t="shared" si="489"/>
        <v>0</v>
      </c>
      <c r="CN171" s="352">
        <f t="shared" si="469"/>
        <v>57</v>
      </c>
      <c r="CO171" s="351">
        <f t="shared" si="470"/>
        <v>0</v>
      </c>
      <c r="CP171" s="351">
        <f t="shared" si="471"/>
        <v>57</v>
      </c>
      <c r="CQ171" s="351">
        <f t="shared" si="472"/>
        <v>0</v>
      </c>
      <c r="CR171" s="351">
        <f t="shared" si="473"/>
        <v>0</v>
      </c>
      <c r="CS171" s="352">
        <f t="shared" si="482"/>
        <v>0</v>
      </c>
      <c r="CT171" s="14"/>
    </row>
    <row r="172" spans="1:98" s="4" customFormat="1" ht="240" x14ac:dyDescent="0.3">
      <c r="A172" s="47" t="s">
        <v>328</v>
      </c>
      <c r="B172" s="188" t="s">
        <v>923</v>
      </c>
      <c r="C172" s="188" t="s">
        <v>1258</v>
      </c>
      <c r="D172" s="612" t="s">
        <v>813</v>
      </c>
      <c r="E172" s="187" t="s">
        <v>52</v>
      </c>
      <c r="F172" s="192" t="s">
        <v>924</v>
      </c>
      <c r="G172" s="187" t="s">
        <v>62</v>
      </c>
      <c r="H172" s="527">
        <v>100</v>
      </c>
      <c r="I172" s="193">
        <v>100</v>
      </c>
      <c r="J172" s="634">
        <v>100</v>
      </c>
      <c r="K172" s="288">
        <v>100</v>
      </c>
      <c r="L172" s="634">
        <v>100</v>
      </c>
      <c r="M172" s="643">
        <v>100</v>
      </c>
      <c r="N172" s="611" t="s">
        <v>1543</v>
      </c>
      <c r="O172" s="615" t="s">
        <v>1690</v>
      </c>
      <c r="P172" s="582"/>
      <c r="Q172" s="193">
        <v>100</v>
      </c>
      <c r="R172" s="193">
        <v>100</v>
      </c>
      <c r="S172" s="193">
        <v>100</v>
      </c>
      <c r="T172" s="193">
        <v>100</v>
      </c>
      <c r="U172" s="193">
        <v>100</v>
      </c>
      <c r="V172" s="193">
        <v>100</v>
      </c>
      <c r="W172" s="193">
        <v>100</v>
      </c>
      <c r="X172" s="193">
        <v>100</v>
      </c>
      <c r="Y172" s="193">
        <v>100</v>
      </c>
      <c r="Z172" s="193">
        <v>100</v>
      </c>
      <c r="AA172" s="165">
        <f>SUM(AB172:AE172)</f>
        <v>7022.3</v>
      </c>
      <c r="AB172" s="164">
        <v>2421.5</v>
      </c>
      <c r="AC172" s="164">
        <v>2923.3</v>
      </c>
      <c r="AD172" s="164">
        <v>1677.5</v>
      </c>
      <c r="AE172" s="164"/>
      <c r="AF172" s="165">
        <f>SUM(AG172:AJ172)</f>
        <v>2421.5</v>
      </c>
      <c r="AG172" s="164">
        <v>2421.5</v>
      </c>
      <c r="AH172" s="164"/>
      <c r="AI172" s="164"/>
      <c r="AJ172" s="164"/>
      <c r="AK172" s="165">
        <f>SUM(AL172:AO172)</f>
        <v>2421.5</v>
      </c>
      <c r="AL172" s="164">
        <v>2421.5</v>
      </c>
      <c r="AM172" s="164"/>
      <c r="AN172" s="164"/>
      <c r="AO172" s="164"/>
      <c r="AP172" s="165">
        <f>SUM(AQ172:AT172)</f>
        <v>2421.5</v>
      </c>
      <c r="AQ172" s="164">
        <v>2421.5</v>
      </c>
      <c r="AR172" s="164"/>
      <c r="AS172" s="164"/>
      <c r="AT172" s="164"/>
      <c r="AU172" s="165">
        <f>SUM(AV172:AY172)</f>
        <v>2421.5</v>
      </c>
      <c r="AV172" s="164">
        <v>2421.5</v>
      </c>
      <c r="AW172" s="164"/>
      <c r="AX172" s="164"/>
      <c r="AY172" s="164"/>
      <c r="AZ172" s="165">
        <f>SUM(BA172:BD172)</f>
        <v>2421.5</v>
      </c>
      <c r="BA172" s="164">
        <v>2421.5</v>
      </c>
      <c r="BB172" s="164"/>
      <c r="BC172" s="164"/>
      <c r="BD172" s="164"/>
      <c r="BE172" s="165">
        <f>SUM(BF172:BI172)</f>
        <v>2421.5</v>
      </c>
      <c r="BF172" s="164">
        <v>2421.5</v>
      </c>
      <c r="BG172" s="164"/>
      <c r="BH172" s="164"/>
      <c r="BI172" s="164"/>
      <c r="BJ172" s="165">
        <f>SUM(BK172:BN172)</f>
        <v>2421.5</v>
      </c>
      <c r="BK172" s="164">
        <v>2421.5</v>
      </c>
      <c r="BL172" s="164"/>
      <c r="BM172" s="164"/>
      <c r="BN172" s="164"/>
      <c r="BO172" s="165">
        <f>SUM(BP172:BS172)</f>
        <v>2421.5</v>
      </c>
      <c r="BP172" s="164">
        <v>2421.5</v>
      </c>
      <c r="BQ172" s="164"/>
      <c r="BR172" s="164"/>
      <c r="BS172" s="164"/>
      <c r="BT172" s="165">
        <f>SUM(BU172:BX172)</f>
        <v>2421.5</v>
      </c>
      <c r="BU172" s="164">
        <v>2421.5</v>
      </c>
      <c r="BV172" s="164"/>
      <c r="BW172" s="164"/>
      <c r="BX172" s="164"/>
      <c r="BY172" s="165">
        <f>SUM(BZ172:CC172)</f>
        <v>2421.5</v>
      </c>
      <c r="BZ172" s="164">
        <v>2421.5</v>
      </c>
      <c r="CA172" s="164"/>
      <c r="CB172" s="164"/>
      <c r="CC172" s="164"/>
      <c r="CD172" s="165">
        <f>SUM(CE172:CH172)</f>
        <v>2421.5</v>
      </c>
      <c r="CE172" s="164">
        <v>2421.5</v>
      </c>
      <c r="CF172" s="164"/>
      <c r="CG172" s="164"/>
      <c r="CH172" s="164"/>
      <c r="CI172" s="181">
        <f t="shared" ref="CI172" si="491">AA172+AF172+AK172</f>
        <v>11865.3</v>
      </c>
      <c r="CJ172" s="180">
        <f t="shared" ref="CJ172" si="492">AB172+AG172+AL172</f>
        <v>7264.5</v>
      </c>
      <c r="CK172" s="180">
        <f t="shared" ref="CK172" si="493">AC172+AH172+AM172</f>
        <v>2923.3</v>
      </c>
      <c r="CL172" s="180">
        <f t="shared" ref="CL172" si="494">AD172+AI172+AN172</f>
        <v>1677.5</v>
      </c>
      <c r="CM172" s="180">
        <f t="shared" ref="CM172" si="495">AE172+AJ172+AO172</f>
        <v>0</v>
      </c>
      <c r="CN172" s="181">
        <f t="shared" si="469"/>
        <v>33658.800000000003</v>
      </c>
      <c r="CO172" s="180">
        <f t="shared" si="470"/>
        <v>29058</v>
      </c>
      <c r="CP172" s="180">
        <f t="shared" si="471"/>
        <v>2923.3</v>
      </c>
      <c r="CQ172" s="180">
        <f t="shared" si="472"/>
        <v>1677.5</v>
      </c>
      <c r="CR172" s="180">
        <f t="shared" si="473"/>
        <v>0</v>
      </c>
      <c r="CS172" s="273">
        <f t="shared" si="482"/>
        <v>2.7284841053187847E-12</v>
      </c>
      <c r="CT172" s="14"/>
    </row>
    <row r="173" spans="1:98" ht="36" customHeight="1" x14ac:dyDescent="0.3">
      <c r="A173" s="369">
        <v>2</v>
      </c>
      <c r="B173" s="867" t="s">
        <v>343</v>
      </c>
      <c r="C173" s="867"/>
      <c r="D173" s="867"/>
      <c r="E173" s="867"/>
      <c r="F173" s="867"/>
      <c r="G173" s="867"/>
      <c r="H173" s="867"/>
      <c r="I173" s="867"/>
      <c r="J173" s="867"/>
      <c r="K173" s="867"/>
      <c r="L173" s="867"/>
      <c r="M173" s="867"/>
      <c r="N173" s="867"/>
      <c r="O173" s="867"/>
      <c r="P173" s="867"/>
      <c r="Q173" s="867"/>
      <c r="R173" s="867"/>
      <c r="S173" s="867"/>
      <c r="T173" s="867"/>
      <c r="U173" s="867"/>
      <c r="V173" s="867"/>
      <c r="W173" s="867"/>
      <c r="X173" s="867"/>
      <c r="Y173" s="867"/>
      <c r="Z173" s="867"/>
      <c r="AA173" s="867"/>
      <c r="AB173" s="867"/>
      <c r="AC173" s="867"/>
      <c r="AD173" s="867"/>
      <c r="AE173" s="867"/>
      <c r="AF173" s="867"/>
      <c r="AG173" s="867"/>
      <c r="AH173" s="867"/>
      <c r="AI173" s="867"/>
      <c r="AJ173" s="867"/>
      <c r="AK173" s="867"/>
      <c r="AL173" s="867"/>
      <c r="AM173" s="867"/>
      <c r="AN173" s="867"/>
      <c r="AO173" s="867"/>
      <c r="AP173" s="867"/>
      <c r="AQ173" s="867"/>
      <c r="AR173" s="867"/>
      <c r="AS173" s="867"/>
      <c r="AT173" s="867"/>
      <c r="AU173" s="867"/>
      <c r="AV173" s="867"/>
      <c r="AW173" s="867"/>
      <c r="AX173" s="867"/>
      <c r="AY173" s="867"/>
      <c r="AZ173" s="867"/>
      <c r="BA173" s="867"/>
      <c r="BB173" s="867"/>
      <c r="BC173" s="867"/>
      <c r="BD173" s="867"/>
      <c r="BE173" s="867"/>
      <c r="BF173" s="867"/>
      <c r="BG173" s="867"/>
      <c r="BH173" s="867"/>
      <c r="BI173" s="867"/>
      <c r="BJ173" s="867"/>
      <c r="BK173" s="867"/>
      <c r="BL173" s="867"/>
      <c r="BM173" s="867"/>
      <c r="BN173" s="867"/>
      <c r="BO173" s="867"/>
      <c r="BP173" s="867"/>
      <c r="BQ173" s="867"/>
      <c r="BR173" s="867"/>
      <c r="BS173" s="867"/>
      <c r="BT173" s="867"/>
      <c r="BU173" s="867"/>
      <c r="BV173" s="867"/>
      <c r="BW173" s="867"/>
      <c r="BX173" s="867"/>
      <c r="BY173" s="867"/>
      <c r="BZ173" s="867"/>
      <c r="CA173" s="867"/>
      <c r="CB173" s="867"/>
      <c r="CC173" s="867"/>
      <c r="CD173" s="867"/>
      <c r="CE173" s="867"/>
      <c r="CF173" s="867"/>
      <c r="CG173" s="867"/>
      <c r="CH173" s="867"/>
      <c r="CI173" s="867"/>
      <c r="CJ173" s="867"/>
      <c r="CK173" s="867"/>
      <c r="CL173" s="867"/>
      <c r="CM173" s="867"/>
      <c r="CN173" s="125">
        <f>CN174+CN193+CN225+CN295</f>
        <v>153819994.39999998</v>
      </c>
      <c r="CO173" s="200">
        <f t="shared" ref="CO173:CS173" si="496">CO174+CO193+CO225+CO295</f>
        <v>26035871.300000001</v>
      </c>
      <c r="CP173" s="200">
        <f t="shared" si="496"/>
        <v>13932040.699999999</v>
      </c>
      <c r="CQ173" s="200">
        <f t="shared" si="496"/>
        <v>42648201.399999999</v>
      </c>
      <c r="CR173" s="200">
        <f t="shared" si="496"/>
        <v>25283510.5</v>
      </c>
      <c r="CS173" s="273">
        <f t="shared" si="496"/>
        <v>45920370.5</v>
      </c>
    </row>
    <row r="174" spans="1:98" x14ac:dyDescent="0.3">
      <c r="A174" s="363" t="s">
        <v>344</v>
      </c>
      <c r="B174" s="824" t="s">
        <v>345</v>
      </c>
      <c r="C174" s="824"/>
      <c r="D174" s="824"/>
      <c r="E174" s="824"/>
      <c r="F174" s="824"/>
      <c r="G174" s="824"/>
      <c r="H174" s="824"/>
      <c r="I174" s="824"/>
      <c r="J174" s="824"/>
      <c r="K174" s="824"/>
      <c r="L174" s="824"/>
      <c r="M174" s="824"/>
      <c r="N174" s="824"/>
      <c r="O174" s="824"/>
      <c r="P174" s="824"/>
      <c r="Q174" s="824"/>
      <c r="R174" s="824"/>
      <c r="S174" s="824"/>
      <c r="T174" s="824"/>
      <c r="U174" s="824"/>
      <c r="V174" s="824"/>
      <c r="W174" s="824"/>
      <c r="X174" s="824"/>
      <c r="Y174" s="824"/>
      <c r="Z174" s="824"/>
      <c r="AA174" s="824"/>
      <c r="AB174" s="824"/>
      <c r="AC174" s="824"/>
      <c r="AD174" s="824"/>
      <c r="AE174" s="824"/>
      <c r="AF174" s="824"/>
      <c r="AG174" s="824"/>
      <c r="AH174" s="824"/>
      <c r="AI174" s="824"/>
      <c r="AJ174" s="824"/>
      <c r="AK174" s="824"/>
      <c r="AL174" s="824"/>
      <c r="AM174" s="824"/>
      <c r="AN174" s="824"/>
      <c r="AO174" s="824"/>
      <c r="AP174" s="824"/>
      <c r="AQ174" s="824"/>
      <c r="AR174" s="824"/>
      <c r="AS174" s="824"/>
      <c r="AT174" s="824"/>
      <c r="AU174" s="824"/>
      <c r="AV174" s="824"/>
      <c r="AW174" s="824"/>
      <c r="AX174" s="824"/>
      <c r="AY174" s="824"/>
      <c r="AZ174" s="824"/>
      <c r="BA174" s="824"/>
      <c r="BB174" s="824"/>
      <c r="BC174" s="824"/>
      <c r="BD174" s="824"/>
      <c r="BE174" s="824"/>
      <c r="BF174" s="824"/>
      <c r="BG174" s="824"/>
      <c r="BH174" s="824"/>
      <c r="BI174" s="824"/>
      <c r="BJ174" s="824"/>
      <c r="BK174" s="824"/>
      <c r="BL174" s="824"/>
      <c r="BM174" s="824"/>
      <c r="BN174" s="824"/>
      <c r="BO174" s="824"/>
      <c r="BP174" s="824"/>
      <c r="BQ174" s="824"/>
      <c r="BR174" s="824"/>
      <c r="BS174" s="824"/>
      <c r="BT174" s="824"/>
      <c r="BU174" s="824"/>
      <c r="BV174" s="824"/>
      <c r="BW174" s="824"/>
      <c r="BX174" s="824"/>
      <c r="BY174" s="824"/>
      <c r="BZ174" s="824"/>
      <c r="CA174" s="824"/>
      <c r="CB174" s="824"/>
      <c r="CC174" s="824"/>
      <c r="CD174" s="824"/>
      <c r="CE174" s="824"/>
      <c r="CF174" s="824"/>
      <c r="CG174" s="824"/>
      <c r="CH174" s="824"/>
      <c r="CI174" s="824"/>
      <c r="CJ174" s="824"/>
      <c r="CK174" s="824"/>
      <c r="CL174" s="824"/>
      <c r="CM174" s="824"/>
      <c r="CN174" s="56">
        <f>CN175</f>
        <v>661137.5</v>
      </c>
      <c r="CO174" s="56">
        <f t="shared" ref="CO174:CS174" si="497">CO175</f>
        <v>99500</v>
      </c>
      <c r="CP174" s="56">
        <f t="shared" si="497"/>
        <v>96500</v>
      </c>
      <c r="CQ174" s="56">
        <f t="shared" si="497"/>
        <v>0</v>
      </c>
      <c r="CR174" s="56">
        <f t="shared" si="497"/>
        <v>0</v>
      </c>
      <c r="CS174" s="273">
        <f t="shared" si="497"/>
        <v>465137.5</v>
      </c>
    </row>
    <row r="175" spans="1:98" s="4" customFormat="1" ht="168" x14ac:dyDescent="0.3">
      <c r="A175" s="504" t="s">
        <v>346</v>
      </c>
      <c r="B175" s="878" t="s">
        <v>1233</v>
      </c>
      <c r="C175" s="879"/>
      <c r="D175" s="879"/>
      <c r="E175" s="880"/>
      <c r="F175" s="498" t="s">
        <v>1413</v>
      </c>
      <c r="G175" s="476" t="s">
        <v>1414</v>
      </c>
      <c r="H175" s="527">
        <v>2</v>
      </c>
      <c r="I175" s="476">
        <v>40</v>
      </c>
      <c r="J175" s="634">
        <v>40</v>
      </c>
      <c r="K175" s="476">
        <v>40</v>
      </c>
      <c r="L175" s="634">
        <v>40</v>
      </c>
      <c r="M175" s="657">
        <v>80</v>
      </c>
      <c r="N175" s="598" t="s">
        <v>1544</v>
      </c>
      <c r="O175" s="617" t="s">
        <v>1664</v>
      </c>
      <c r="P175" s="565"/>
      <c r="Q175" s="476">
        <v>40</v>
      </c>
      <c r="R175" s="476">
        <v>40</v>
      </c>
      <c r="S175" s="476">
        <v>40</v>
      </c>
      <c r="T175" s="476">
        <v>40</v>
      </c>
      <c r="U175" s="476">
        <v>40</v>
      </c>
      <c r="V175" s="476">
        <v>40</v>
      </c>
      <c r="W175" s="476">
        <v>40</v>
      </c>
      <c r="X175" s="476">
        <v>40</v>
      </c>
      <c r="Y175" s="476">
        <v>40</v>
      </c>
      <c r="Z175" s="476">
        <v>40</v>
      </c>
      <c r="AA175" s="498"/>
      <c r="AB175" s="498"/>
      <c r="AC175" s="498"/>
      <c r="AD175" s="498"/>
      <c r="AE175" s="498"/>
      <c r="AF175" s="498"/>
      <c r="AG175" s="498"/>
      <c r="AH175" s="498"/>
      <c r="AI175" s="498"/>
      <c r="AJ175" s="498"/>
      <c r="AK175" s="498"/>
      <c r="AL175" s="498"/>
      <c r="AM175" s="498"/>
      <c r="AN175" s="498"/>
      <c r="AO175" s="498"/>
      <c r="AP175" s="498"/>
      <c r="AQ175" s="498"/>
      <c r="AR175" s="498"/>
      <c r="AS175" s="498"/>
      <c r="AT175" s="498"/>
      <c r="AU175" s="498"/>
      <c r="AV175" s="498"/>
      <c r="AW175" s="498"/>
      <c r="AX175" s="498"/>
      <c r="AY175" s="498"/>
      <c r="AZ175" s="498"/>
      <c r="BA175" s="498"/>
      <c r="BB175" s="498"/>
      <c r="BC175" s="498"/>
      <c r="BD175" s="498"/>
      <c r="BE175" s="498"/>
      <c r="BF175" s="498"/>
      <c r="BG175" s="498"/>
      <c r="BH175" s="498"/>
      <c r="BI175" s="498"/>
      <c r="BJ175" s="498"/>
      <c r="BK175" s="498"/>
      <c r="BL175" s="498"/>
      <c r="BM175" s="498"/>
      <c r="BN175" s="498"/>
      <c r="BO175" s="498"/>
      <c r="BP175" s="498"/>
      <c r="BQ175" s="498"/>
      <c r="BR175" s="498"/>
      <c r="BS175" s="498"/>
      <c r="BT175" s="498"/>
      <c r="BU175" s="498"/>
      <c r="BV175" s="498"/>
      <c r="BW175" s="498"/>
      <c r="BX175" s="498"/>
      <c r="BY175" s="498"/>
      <c r="BZ175" s="498"/>
      <c r="CA175" s="498"/>
      <c r="CB175" s="498"/>
      <c r="CC175" s="498"/>
      <c r="CD175" s="498"/>
      <c r="CE175" s="498"/>
      <c r="CF175" s="498"/>
      <c r="CG175" s="498"/>
      <c r="CH175" s="498"/>
      <c r="CI175" s="498"/>
      <c r="CJ175" s="498"/>
      <c r="CK175" s="498"/>
      <c r="CL175" s="498"/>
      <c r="CM175" s="498"/>
      <c r="CN175" s="501">
        <f>CN176+CN178+CN179+CN180+CN181+CN182+CN183+CN184+CN185+CN186+CN187+CN188+CN189+CN190+CN191+CN192</f>
        <v>661137.5</v>
      </c>
      <c r="CO175" s="501">
        <f t="shared" ref="CO175:CS175" si="498">CO176+CO178+CO179+CO180+CO181+CO182+CO183+CO184+CO185+CO186+CO187+CO188+CO189+CO190+CO191+CO192</f>
        <v>99500</v>
      </c>
      <c r="CP175" s="501">
        <f t="shared" si="498"/>
        <v>96500</v>
      </c>
      <c r="CQ175" s="501">
        <f t="shared" si="498"/>
        <v>0</v>
      </c>
      <c r="CR175" s="501">
        <f t="shared" si="498"/>
        <v>0</v>
      </c>
      <c r="CS175" s="501">
        <f t="shared" si="498"/>
        <v>465137.5</v>
      </c>
      <c r="CT175" s="14"/>
    </row>
    <row r="176" spans="1:98" s="4" customFormat="1" ht="252.75" customHeight="1" x14ac:dyDescent="0.3">
      <c r="A176" s="796" t="s">
        <v>347</v>
      </c>
      <c r="B176" s="804" t="s">
        <v>1034</v>
      </c>
      <c r="C176" s="859" t="s">
        <v>867</v>
      </c>
      <c r="D176" s="728" t="s">
        <v>348</v>
      </c>
      <c r="E176" s="476" t="s">
        <v>144</v>
      </c>
      <c r="F176" s="481" t="s">
        <v>835</v>
      </c>
      <c r="G176" s="503" t="s">
        <v>349</v>
      </c>
      <c r="H176" s="527"/>
      <c r="I176" s="476">
        <v>1</v>
      </c>
      <c r="J176" s="634">
        <v>4</v>
      </c>
      <c r="K176" s="476">
        <v>0</v>
      </c>
      <c r="L176" s="634">
        <v>4</v>
      </c>
      <c r="M176" s="657">
        <v>4</v>
      </c>
      <c r="N176" s="598" t="s">
        <v>1545</v>
      </c>
      <c r="O176" s="617"/>
      <c r="P176" s="542"/>
      <c r="Q176" s="476">
        <v>4</v>
      </c>
      <c r="R176" s="476">
        <v>3</v>
      </c>
      <c r="S176" s="476"/>
      <c r="T176" s="476"/>
      <c r="U176" s="476"/>
      <c r="V176" s="476"/>
      <c r="W176" s="476"/>
      <c r="X176" s="476"/>
      <c r="Y176" s="476"/>
      <c r="Z176" s="476"/>
      <c r="AA176" s="793"/>
      <c r="AB176" s="793"/>
      <c r="AC176" s="793"/>
      <c r="AD176" s="793"/>
      <c r="AE176" s="793"/>
      <c r="AF176" s="767">
        <f t="shared" ref="AF176:AF179" si="499">SUM(AG176:AJ176)</f>
        <v>35100</v>
      </c>
      <c r="AG176" s="765"/>
      <c r="AH176" s="765">
        <v>35100</v>
      </c>
      <c r="AI176" s="765"/>
      <c r="AJ176" s="793"/>
      <c r="AK176" s="767">
        <f t="shared" ref="AK176:AK179" si="500">SUM(AL176:AO176)</f>
        <v>35100</v>
      </c>
      <c r="AL176" s="765"/>
      <c r="AM176" s="765">
        <v>35100</v>
      </c>
      <c r="AN176" s="793"/>
      <c r="AO176" s="793"/>
      <c r="AP176" s="767">
        <f t="shared" ref="AP176:AP178" si="501">SUM(AQ176:AT176)</f>
        <v>26300</v>
      </c>
      <c r="AQ176" s="765"/>
      <c r="AR176" s="765">
        <v>26300</v>
      </c>
      <c r="AS176" s="793"/>
      <c r="AT176" s="793"/>
      <c r="AU176" s="881"/>
      <c r="AV176" s="793"/>
      <c r="AW176" s="793"/>
      <c r="AX176" s="793"/>
      <c r="AY176" s="793"/>
      <c r="AZ176" s="881"/>
      <c r="BA176" s="793"/>
      <c r="BB176" s="793"/>
      <c r="BC176" s="793"/>
      <c r="BD176" s="793"/>
      <c r="BE176" s="881"/>
      <c r="BF176" s="793"/>
      <c r="BG176" s="793"/>
      <c r="BH176" s="793"/>
      <c r="BI176" s="793"/>
      <c r="BJ176" s="881"/>
      <c r="BK176" s="793"/>
      <c r="BL176" s="793"/>
      <c r="BM176" s="793"/>
      <c r="BN176" s="793"/>
      <c r="BO176" s="881"/>
      <c r="BP176" s="793"/>
      <c r="BQ176" s="793"/>
      <c r="BR176" s="793"/>
      <c r="BS176" s="793"/>
      <c r="BT176" s="881"/>
      <c r="BU176" s="793"/>
      <c r="BV176" s="793"/>
      <c r="BW176" s="793"/>
      <c r="BX176" s="793"/>
      <c r="BY176" s="881"/>
      <c r="BZ176" s="793"/>
      <c r="CA176" s="793"/>
      <c r="CB176" s="793"/>
      <c r="CC176" s="793"/>
      <c r="CD176" s="881"/>
      <c r="CE176" s="793"/>
      <c r="CF176" s="793"/>
      <c r="CG176" s="793"/>
      <c r="CH176" s="793"/>
      <c r="CI176" s="773">
        <f t="shared" ref="CI176" si="502">AA176+AF176+AK176</f>
        <v>70200</v>
      </c>
      <c r="CJ176" s="791">
        <f t="shared" ref="CJ176" si="503">AB176+AG176+AL176</f>
        <v>0</v>
      </c>
      <c r="CK176" s="791">
        <f t="shared" ref="CK176" si="504">AC176+AH176+AM176</f>
        <v>70200</v>
      </c>
      <c r="CL176" s="791">
        <f t="shared" ref="CL176" si="505">AD176+AI176+AN176</f>
        <v>0</v>
      </c>
      <c r="CM176" s="791">
        <f t="shared" ref="CM176" si="506">AE176+AJ176+AO176</f>
        <v>0</v>
      </c>
      <c r="CN176" s="773">
        <f>AA176+AF176+AK176+AP176+AU176+AZ176+BE176+BJ176+BO176+BT176+BY176+CD176</f>
        <v>96500</v>
      </c>
      <c r="CO176" s="791">
        <f>AB176+AG176+AL176+AQ176+AV176+BA176+BF176+BK176+BP176+BU176+BZ176+CE176</f>
        <v>0</v>
      </c>
      <c r="CP176" s="791">
        <f>AC176+AH176+AM176+AR176+AW176+BB176+BG176+BL176+BQ176+BV176+CA176+CF176</f>
        <v>96500</v>
      </c>
      <c r="CQ176" s="791">
        <f>AD176+AI176+AN176+AS176+AX176+BC176+BH176+BM176+BR176+BW176+CB176+CG176</f>
        <v>0</v>
      </c>
      <c r="CR176" s="791">
        <f>AE176+AJ176+AO176+AT176+AY176+BD176+BI176+BN176+BS176+BX176+CC176+CH176</f>
        <v>0</v>
      </c>
      <c r="CS176" s="775">
        <f>CN176-CO176-CP176-CQ176-CR176</f>
        <v>0</v>
      </c>
      <c r="CT176" s="14"/>
    </row>
    <row r="177" spans="1:98" s="4" customFormat="1" ht="369" customHeight="1" x14ac:dyDescent="0.3">
      <c r="A177" s="797"/>
      <c r="B177" s="805"/>
      <c r="C177" s="861"/>
      <c r="D177" s="729"/>
      <c r="E177" s="193" t="s">
        <v>52</v>
      </c>
      <c r="F177" s="119" t="s">
        <v>350</v>
      </c>
      <c r="G177" s="187" t="s">
        <v>62</v>
      </c>
      <c r="H177" s="527"/>
      <c r="I177" s="193">
        <v>85</v>
      </c>
      <c r="J177" s="634">
        <v>85</v>
      </c>
      <c r="K177" s="516" t="s">
        <v>1465</v>
      </c>
      <c r="L177" s="634">
        <v>85</v>
      </c>
      <c r="M177" s="657">
        <v>100</v>
      </c>
      <c r="N177" s="598" t="s">
        <v>1546</v>
      </c>
      <c r="O177" s="617"/>
      <c r="P177" s="542"/>
      <c r="Q177" s="193">
        <v>85</v>
      </c>
      <c r="R177" s="193">
        <v>85</v>
      </c>
      <c r="S177" s="193">
        <v>85</v>
      </c>
      <c r="T177" s="193">
        <v>85</v>
      </c>
      <c r="U177" s="193">
        <v>90</v>
      </c>
      <c r="V177" s="193">
        <v>90</v>
      </c>
      <c r="W177" s="193">
        <v>90</v>
      </c>
      <c r="X177" s="193">
        <v>95</v>
      </c>
      <c r="Y177" s="193">
        <v>95</v>
      </c>
      <c r="Z177" s="193">
        <v>100</v>
      </c>
      <c r="AA177" s="794"/>
      <c r="AB177" s="794"/>
      <c r="AC177" s="794"/>
      <c r="AD177" s="794"/>
      <c r="AE177" s="794"/>
      <c r="AF177" s="768"/>
      <c r="AG177" s="766"/>
      <c r="AH177" s="766"/>
      <c r="AI177" s="766"/>
      <c r="AJ177" s="794"/>
      <c r="AK177" s="768"/>
      <c r="AL177" s="766"/>
      <c r="AM177" s="766"/>
      <c r="AN177" s="794"/>
      <c r="AO177" s="794"/>
      <c r="AP177" s="768"/>
      <c r="AQ177" s="766"/>
      <c r="AR177" s="766"/>
      <c r="AS177" s="794"/>
      <c r="AT177" s="794"/>
      <c r="AU177" s="882"/>
      <c r="AV177" s="794"/>
      <c r="AW177" s="794"/>
      <c r="AX177" s="794"/>
      <c r="AY177" s="794"/>
      <c r="AZ177" s="882"/>
      <c r="BA177" s="794"/>
      <c r="BB177" s="794"/>
      <c r="BC177" s="794"/>
      <c r="BD177" s="794"/>
      <c r="BE177" s="882"/>
      <c r="BF177" s="794"/>
      <c r="BG177" s="794"/>
      <c r="BH177" s="794"/>
      <c r="BI177" s="794"/>
      <c r="BJ177" s="882"/>
      <c r="BK177" s="794"/>
      <c r="BL177" s="794"/>
      <c r="BM177" s="794"/>
      <c r="BN177" s="794"/>
      <c r="BO177" s="882"/>
      <c r="BP177" s="794"/>
      <c r="BQ177" s="794"/>
      <c r="BR177" s="794"/>
      <c r="BS177" s="794"/>
      <c r="BT177" s="882"/>
      <c r="BU177" s="794"/>
      <c r="BV177" s="794"/>
      <c r="BW177" s="794"/>
      <c r="BX177" s="794"/>
      <c r="BY177" s="882"/>
      <c r="BZ177" s="794"/>
      <c r="CA177" s="794"/>
      <c r="CB177" s="794"/>
      <c r="CC177" s="794"/>
      <c r="CD177" s="882"/>
      <c r="CE177" s="794"/>
      <c r="CF177" s="794"/>
      <c r="CG177" s="794"/>
      <c r="CH177" s="794"/>
      <c r="CI177" s="774"/>
      <c r="CJ177" s="792"/>
      <c r="CK177" s="792"/>
      <c r="CL177" s="792"/>
      <c r="CM177" s="792"/>
      <c r="CN177" s="774"/>
      <c r="CO177" s="792"/>
      <c r="CP177" s="792"/>
      <c r="CQ177" s="792"/>
      <c r="CR177" s="792"/>
      <c r="CS177" s="776"/>
      <c r="CT177" s="14"/>
    </row>
    <row r="178" spans="1:98" s="4" customFormat="1" ht="216" x14ac:dyDescent="0.3">
      <c r="A178" s="171" t="s">
        <v>351</v>
      </c>
      <c r="B178" s="169" t="s">
        <v>838</v>
      </c>
      <c r="C178" s="188" t="s">
        <v>865</v>
      </c>
      <c r="D178" s="187" t="s">
        <v>352</v>
      </c>
      <c r="E178" s="193" t="s">
        <v>353</v>
      </c>
      <c r="F178" s="192" t="s">
        <v>839</v>
      </c>
      <c r="G178" s="187" t="s">
        <v>349</v>
      </c>
      <c r="H178" s="527"/>
      <c r="I178" s="193"/>
      <c r="J178" s="634">
        <v>1</v>
      </c>
      <c r="K178" s="288">
        <v>0</v>
      </c>
      <c r="L178" s="634">
        <v>2</v>
      </c>
      <c r="M178" s="657">
        <v>0</v>
      </c>
      <c r="N178" s="598" t="s">
        <v>1547</v>
      </c>
      <c r="O178" s="617" t="s">
        <v>1547</v>
      </c>
      <c r="P178" s="542"/>
      <c r="Q178" s="193">
        <v>2</v>
      </c>
      <c r="R178" s="193">
        <v>1</v>
      </c>
      <c r="S178" s="193"/>
      <c r="T178" s="193"/>
      <c r="U178" s="193"/>
      <c r="V178" s="193"/>
      <c r="W178" s="193"/>
      <c r="X178" s="193"/>
      <c r="Y178" s="193"/>
      <c r="Z178" s="193"/>
      <c r="AA178" s="70"/>
      <c r="AB178" s="70"/>
      <c r="AC178" s="70"/>
      <c r="AD178" s="70"/>
      <c r="AE178" s="70"/>
      <c r="AF178" s="165">
        <f t="shared" si="499"/>
        <v>1000</v>
      </c>
      <c r="AG178" s="164">
        <v>1000</v>
      </c>
      <c r="AH178" s="164"/>
      <c r="AI178" s="164"/>
      <c r="AJ178" s="70"/>
      <c r="AK178" s="165">
        <f t="shared" si="500"/>
        <v>1500</v>
      </c>
      <c r="AL178" s="164">
        <v>1500</v>
      </c>
      <c r="AM178" s="164"/>
      <c r="AN178" s="70"/>
      <c r="AO178" s="70"/>
      <c r="AP178" s="165">
        <f t="shared" si="501"/>
        <v>1500</v>
      </c>
      <c r="AQ178" s="164">
        <v>1500</v>
      </c>
      <c r="AR178" s="164"/>
      <c r="AS178" s="70"/>
      <c r="AT178" s="70"/>
      <c r="AU178" s="77"/>
      <c r="AV178" s="70"/>
      <c r="AW178" s="70"/>
      <c r="AX178" s="70"/>
      <c r="AY178" s="70"/>
      <c r="AZ178" s="77"/>
      <c r="BA178" s="70"/>
      <c r="BB178" s="70"/>
      <c r="BC178" s="70"/>
      <c r="BD178" s="70"/>
      <c r="BE178" s="77"/>
      <c r="BF178" s="70"/>
      <c r="BG178" s="70"/>
      <c r="BH178" s="70"/>
      <c r="BI178" s="70"/>
      <c r="BJ178" s="77"/>
      <c r="BK178" s="70"/>
      <c r="BL178" s="70"/>
      <c r="BM178" s="70"/>
      <c r="BN178" s="70"/>
      <c r="BO178" s="77"/>
      <c r="BP178" s="70"/>
      <c r="BQ178" s="70"/>
      <c r="BR178" s="70"/>
      <c r="BS178" s="70"/>
      <c r="BT178" s="77"/>
      <c r="BU178" s="70"/>
      <c r="BV178" s="70"/>
      <c r="BW178" s="70"/>
      <c r="BX178" s="70"/>
      <c r="BY178" s="77"/>
      <c r="BZ178" s="70"/>
      <c r="CA178" s="70"/>
      <c r="CB178" s="70"/>
      <c r="CC178" s="70"/>
      <c r="CD178" s="77"/>
      <c r="CE178" s="70"/>
      <c r="CF178" s="70"/>
      <c r="CG178" s="70"/>
      <c r="CH178" s="70"/>
      <c r="CI178" s="181">
        <f t="shared" ref="CI178:CI182" si="507">AA178+AF178+AK178</f>
        <v>2500</v>
      </c>
      <c r="CJ178" s="180">
        <f t="shared" ref="CJ178:CJ182" si="508">AB178+AG178+AL178</f>
        <v>2500</v>
      </c>
      <c r="CK178" s="180">
        <f t="shared" ref="CK178:CK182" si="509">AC178+AH178+AM178</f>
        <v>0</v>
      </c>
      <c r="CL178" s="180">
        <f t="shared" ref="CL178:CL182" si="510">AD178+AI178+AN178</f>
        <v>0</v>
      </c>
      <c r="CM178" s="180">
        <f t="shared" ref="CM178:CM182" si="511">AE178+AJ178+AO178</f>
        <v>0</v>
      </c>
      <c r="CN178" s="181">
        <f t="shared" ref="CN178:CN192" si="512">AA178+AF178+AK178+AP178+AU178+AZ178+BE178+BJ178+BO178+BT178+BY178+CD178</f>
        <v>4000</v>
      </c>
      <c r="CO178" s="180">
        <f t="shared" ref="CO178:CO192" si="513">AB178+AG178+AL178+AQ178+AV178+BA178+BF178+BK178+BP178+BU178+BZ178+CE178</f>
        <v>4000</v>
      </c>
      <c r="CP178" s="180">
        <f t="shared" ref="CP178:CP192" si="514">AC178+AH178+AM178+AR178+AW178+BB178+BG178+BL178+BQ178+BV178+CA178+CF178</f>
        <v>0</v>
      </c>
      <c r="CQ178" s="180">
        <f t="shared" ref="CQ178:CQ192" si="515">AD178+AI178+AN178+AS178+AX178+BC178+BH178+BM178+BR178+BW178+CB178+CG178</f>
        <v>0</v>
      </c>
      <c r="CR178" s="180">
        <f t="shared" ref="CR178:CR192" si="516">AE178+AJ178+AO178+AT178+AY178+BD178+BI178+BN178+BS178+BX178+CC178+CH178</f>
        <v>0</v>
      </c>
      <c r="CS178" s="273">
        <f>CN178-CO178-CP178-CQ178-CR178</f>
        <v>0</v>
      </c>
      <c r="CT178" s="14"/>
    </row>
    <row r="179" spans="1:98" s="4" customFormat="1" ht="192" x14ac:dyDescent="0.3">
      <c r="A179" s="47" t="s">
        <v>354</v>
      </c>
      <c r="B179" s="189" t="s">
        <v>355</v>
      </c>
      <c r="C179" s="188" t="s">
        <v>866</v>
      </c>
      <c r="D179" s="187" t="s">
        <v>352</v>
      </c>
      <c r="E179" s="193" t="s">
        <v>152</v>
      </c>
      <c r="F179" s="73" t="s">
        <v>356</v>
      </c>
      <c r="G179" s="187" t="s">
        <v>62</v>
      </c>
      <c r="H179" s="527"/>
      <c r="I179" s="193">
        <v>31.5</v>
      </c>
      <c r="J179" s="634">
        <v>60</v>
      </c>
      <c r="K179" s="516"/>
      <c r="L179" s="634">
        <v>100</v>
      </c>
      <c r="M179" s="657">
        <v>44</v>
      </c>
      <c r="N179" s="611" t="s">
        <v>1548</v>
      </c>
      <c r="O179" s="617" t="s">
        <v>1702</v>
      </c>
      <c r="P179" s="542"/>
      <c r="Q179" s="193">
        <v>100</v>
      </c>
      <c r="R179" s="193">
        <v>100</v>
      </c>
      <c r="S179" s="193">
        <v>100</v>
      </c>
      <c r="T179" s="193">
        <v>100</v>
      </c>
      <c r="U179" s="193">
        <v>100</v>
      </c>
      <c r="V179" s="193">
        <v>100</v>
      </c>
      <c r="W179" s="193">
        <v>100</v>
      </c>
      <c r="X179" s="193">
        <v>100</v>
      </c>
      <c r="Y179" s="193">
        <v>100</v>
      </c>
      <c r="Z179" s="193">
        <v>100</v>
      </c>
      <c r="AA179" s="70"/>
      <c r="AB179" s="70"/>
      <c r="AC179" s="70"/>
      <c r="AD179" s="70"/>
      <c r="AE179" s="70"/>
      <c r="AF179" s="165">
        <f t="shared" si="499"/>
        <v>32000</v>
      </c>
      <c r="AG179" s="164">
        <v>32000</v>
      </c>
      <c r="AH179" s="164"/>
      <c r="AI179" s="164"/>
      <c r="AJ179" s="70"/>
      <c r="AK179" s="165">
        <f t="shared" si="500"/>
        <v>63500</v>
      </c>
      <c r="AL179" s="164">
        <v>63500</v>
      </c>
      <c r="AM179" s="164"/>
      <c r="AN179" s="70"/>
      <c r="AO179" s="70"/>
      <c r="AP179" s="165"/>
      <c r="AQ179" s="164"/>
      <c r="AR179" s="164"/>
      <c r="AS179" s="70"/>
      <c r="AT179" s="70"/>
      <c r="AU179" s="77"/>
      <c r="AV179" s="70"/>
      <c r="AW179" s="70"/>
      <c r="AX179" s="70"/>
      <c r="AY179" s="70"/>
      <c r="AZ179" s="77"/>
      <c r="BA179" s="70"/>
      <c r="BB179" s="70"/>
      <c r="BC179" s="70"/>
      <c r="BD179" s="70"/>
      <c r="BE179" s="77"/>
      <c r="BF179" s="70"/>
      <c r="BG179" s="70"/>
      <c r="BH179" s="70"/>
      <c r="BI179" s="70"/>
      <c r="BJ179" s="77"/>
      <c r="BK179" s="70"/>
      <c r="BL179" s="70"/>
      <c r="BM179" s="70"/>
      <c r="BN179" s="70"/>
      <c r="BO179" s="77"/>
      <c r="BP179" s="70"/>
      <c r="BQ179" s="70"/>
      <c r="BR179" s="70"/>
      <c r="BS179" s="70"/>
      <c r="BT179" s="77"/>
      <c r="BU179" s="70"/>
      <c r="BV179" s="70"/>
      <c r="BW179" s="70"/>
      <c r="BX179" s="70"/>
      <c r="BY179" s="77"/>
      <c r="BZ179" s="70"/>
      <c r="CA179" s="70"/>
      <c r="CB179" s="70"/>
      <c r="CC179" s="70"/>
      <c r="CD179" s="77"/>
      <c r="CE179" s="70"/>
      <c r="CF179" s="70"/>
      <c r="CG179" s="70"/>
      <c r="CH179" s="70"/>
      <c r="CI179" s="181">
        <f t="shared" si="507"/>
        <v>95500</v>
      </c>
      <c r="CJ179" s="180">
        <f t="shared" si="508"/>
        <v>95500</v>
      </c>
      <c r="CK179" s="180">
        <f t="shared" si="509"/>
        <v>0</v>
      </c>
      <c r="CL179" s="180">
        <f t="shared" si="510"/>
        <v>0</v>
      </c>
      <c r="CM179" s="180">
        <f t="shared" si="511"/>
        <v>0</v>
      </c>
      <c r="CN179" s="181">
        <f t="shared" si="512"/>
        <v>95500</v>
      </c>
      <c r="CO179" s="180">
        <f t="shared" si="513"/>
        <v>95500</v>
      </c>
      <c r="CP179" s="180">
        <f t="shared" si="514"/>
        <v>0</v>
      </c>
      <c r="CQ179" s="180">
        <f t="shared" si="515"/>
        <v>0</v>
      </c>
      <c r="CR179" s="180">
        <f t="shared" si="516"/>
        <v>0</v>
      </c>
      <c r="CS179" s="273">
        <f t="shared" ref="CS179:CS192" si="517">CN179-CO179-CP179-CQ179-CR179</f>
        <v>0</v>
      </c>
      <c r="CT179" s="14"/>
    </row>
    <row r="180" spans="1:98" s="4" customFormat="1" ht="96" x14ac:dyDescent="0.3">
      <c r="A180" s="796" t="s">
        <v>357</v>
      </c>
      <c r="B180" s="804" t="s">
        <v>358</v>
      </c>
      <c r="C180" s="356" t="s">
        <v>863</v>
      </c>
      <c r="D180" s="357" t="s">
        <v>1167</v>
      </c>
      <c r="E180" s="357" t="s">
        <v>325</v>
      </c>
      <c r="F180" s="334" t="s">
        <v>359</v>
      </c>
      <c r="G180" s="378" t="s">
        <v>62</v>
      </c>
      <c r="H180" s="527"/>
      <c r="I180" s="353"/>
      <c r="J180" s="637"/>
      <c r="K180" s="357"/>
      <c r="L180" s="637">
        <v>10</v>
      </c>
      <c r="M180" s="643">
        <v>0</v>
      </c>
      <c r="N180" s="592"/>
      <c r="O180" s="615" t="s">
        <v>1665</v>
      </c>
      <c r="P180" s="556"/>
      <c r="Q180" s="357">
        <v>10</v>
      </c>
      <c r="R180" s="357">
        <v>50</v>
      </c>
      <c r="S180" s="357">
        <v>100</v>
      </c>
      <c r="T180" s="357"/>
      <c r="U180" s="357"/>
      <c r="V180" s="353"/>
      <c r="W180" s="353"/>
      <c r="X180" s="353"/>
      <c r="Y180" s="353"/>
      <c r="Z180" s="353"/>
      <c r="AA180" s="70"/>
      <c r="AB180" s="70"/>
      <c r="AC180" s="70"/>
      <c r="AD180" s="70"/>
      <c r="AE180" s="70"/>
      <c r="AF180" s="342"/>
      <c r="AG180" s="341"/>
      <c r="AH180" s="341"/>
      <c r="AI180" s="341"/>
      <c r="AJ180" s="70"/>
      <c r="AK180" s="342">
        <v>5000</v>
      </c>
      <c r="AL180" s="341"/>
      <c r="AM180" s="341"/>
      <c r="AN180" s="70"/>
      <c r="AO180" s="70"/>
      <c r="AP180" s="342">
        <v>50000</v>
      </c>
      <c r="AQ180" s="341"/>
      <c r="AR180" s="341"/>
      <c r="AS180" s="70"/>
      <c r="AT180" s="70"/>
      <c r="AU180" s="342">
        <v>30000</v>
      </c>
      <c r="AV180" s="70"/>
      <c r="AW180" s="70"/>
      <c r="AX180" s="70"/>
      <c r="AY180" s="70"/>
      <c r="AZ180" s="77"/>
      <c r="BA180" s="70"/>
      <c r="BB180" s="70"/>
      <c r="BC180" s="70"/>
      <c r="BD180" s="70"/>
      <c r="BE180" s="77"/>
      <c r="BF180" s="70"/>
      <c r="BG180" s="70"/>
      <c r="BH180" s="70"/>
      <c r="BI180" s="70"/>
      <c r="BJ180" s="77"/>
      <c r="BK180" s="70"/>
      <c r="BL180" s="70"/>
      <c r="BM180" s="70"/>
      <c r="BN180" s="70"/>
      <c r="BO180" s="77"/>
      <c r="BP180" s="70"/>
      <c r="BQ180" s="70"/>
      <c r="BR180" s="70"/>
      <c r="BS180" s="70"/>
      <c r="BT180" s="77"/>
      <c r="BU180" s="70"/>
      <c r="BV180" s="70"/>
      <c r="BW180" s="70"/>
      <c r="BX180" s="70"/>
      <c r="BY180" s="77"/>
      <c r="BZ180" s="70"/>
      <c r="CA180" s="70"/>
      <c r="CB180" s="70"/>
      <c r="CC180" s="70"/>
      <c r="CD180" s="77"/>
      <c r="CE180" s="70"/>
      <c r="CF180" s="70"/>
      <c r="CG180" s="70"/>
      <c r="CH180" s="70"/>
      <c r="CI180" s="352">
        <f t="shared" si="507"/>
        <v>5000</v>
      </c>
      <c r="CJ180" s="351">
        <f t="shared" si="508"/>
        <v>0</v>
      </c>
      <c r="CK180" s="351">
        <f t="shared" si="509"/>
        <v>0</v>
      </c>
      <c r="CL180" s="351">
        <f t="shared" si="510"/>
        <v>0</v>
      </c>
      <c r="CM180" s="351">
        <f t="shared" si="511"/>
        <v>0</v>
      </c>
      <c r="CN180" s="352">
        <f t="shared" si="512"/>
        <v>85000</v>
      </c>
      <c r="CO180" s="351">
        <f t="shared" si="513"/>
        <v>0</v>
      </c>
      <c r="CP180" s="351">
        <f t="shared" si="514"/>
        <v>0</v>
      </c>
      <c r="CQ180" s="351">
        <f t="shared" si="515"/>
        <v>0</v>
      </c>
      <c r="CR180" s="351">
        <f t="shared" si="516"/>
        <v>0</v>
      </c>
      <c r="CS180" s="352">
        <f t="shared" si="517"/>
        <v>85000</v>
      </c>
      <c r="CT180" s="14"/>
    </row>
    <row r="181" spans="1:98" s="4" customFormat="1" ht="96" x14ac:dyDescent="0.3">
      <c r="A181" s="797"/>
      <c r="B181" s="805"/>
      <c r="C181" s="356" t="s">
        <v>864</v>
      </c>
      <c r="D181" s="357" t="s">
        <v>1167</v>
      </c>
      <c r="E181" s="357" t="s">
        <v>1211</v>
      </c>
      <c r="F181" s="334" t="s">
        <v>359</v>
      </c>
      <c r="G181" s="378" t="s">
        <v>62</v>
      </c>
      <c r="H181" s="527"/>
      <c r="I181" s="353"/>
      <c r="J181" s="637"/>
      <c r="K181" s="357"/>
      <c r="L181" s="637">
        <v>10</v>
      </c>
      <c r="M181" s="643">
        <v>0</v>
      </c>
      <c r="N181" s="592"/>
      <c r="O181" s="615" t="s">
        <v>1665</v>
      </c>
      <c r="P181" s="556"/>
      <c r="Q181" s="357">
        <v>10</v>
      </c>
      <c r="R181" s="357">
        <v>20</v>
      </c>
      <c r="S181" s="357">
        <v>40</v>
      </c>
      <c r="T181" s="357">
        <v>60</v>
      </c>
      <c r="U181" s="357">
        <v>80</v>
      </c>
      <c r="V181" s="357">
        <v>100</v>
      </c>
      <c r="W181" s="353"/>
      <c r="X181" s="353"/>
      <c r="Y181" s="353"/>
      <c r="Z181" s="353"/>
      <c r="AA181" s="70"/>
      <c r="AB181" s="70"/>
      <c r="AC181" s="70"/>
      <c r="AD181" s="70"/>
      <c r="AE181" s="70"/>
      <c r="AF181" s="342"/>
      <c r="AG181" s="341"/>
      <c r="AH181" s="341"/>
      <c r="AI181" s="341"/>
      <c r="AJ181" s="70"/>
      <c r="AK181" s="342">
        <v>10000</v>
      </c>
      <c r="AL181" s="341"/>
      <c r="AM181" s="341"/>
      <c r="AN181" s="70"/>
      <c r="AO181" s="70"/>
      <c r="AP181" s="342">
        <v>20000</v>
      </c>
      <c r="AQ181" s="341"/>
      <c r="AR181" s="341"/>
      <c r="AS181" s="70"/>
      <c r="AT181" s="70"/>
      <c r="AU181" s="342">
        <v>20000</v>
      </c>
      <c r="AV181" s="70"/>
      <c r="AW181" s="70"/>
      <c r="AX181" s="70"/>
      <c r="AY181" s="70"/>
      <c r="AZ181" s="342">
        <v>30000</v>
      </c>
      <c r="BA181" s="70"/>
      <c r="BB181" s="70"/>
      <c r="BC181" s="70"/>
      <c r="BD181" s="70"/>
      <c r="BE181" s="342">
        <v>30000</v>
      </c>
      <c r="BF181" s="70"/>
      <c r="BG181" s="70"/>
      <c r="BH181" s="70"/>
      <c r="BI181" s="70"/>
      <c r="BJ181" s="342">
        <v>20000</v>
      </c>
      <c r="BK181" s="70"/>
      <c r="BL181" s="70"/>
      <c r="BM181" s="70"/>
      <c r="BN181" s="70"/>
      <c r="BO181" s="77"/>
      <c r="BP181" s="70"/>
      <c r="BQ181" s="70"/>
      <c r="BR181" s="70"/>
      <c r="BS181" s="70"/>
      <c r="BT181" s="77"/>
      <c r="BU181" s="70"/>
      <c r="BV181" s="70"/>
      <c r="BW181" s="70"/>
      <c r="BX181" s="70"/>
      <c r="BY181" s="77"/>
      <c r="BZ181" s="70"/>
      <c r="CA181" s="70"/>
      <c r="CB181" s="70"/>
      <c r="CC181" s="70"/>
      <c r="CD181" s="77"/>
      <c r="CE181" s="70"/>
      <c r="CF181" s="70"/>
      <c r="CG181" s="70"/>
      <c r="CH181" s="70"/>
      <c r="CI181" s="352">
        <f t="shared" si="507"/>
        <v>10000</v>
      </c>
      <c r="CJ181" s="351">
        <f t="shared" si="508"/>
        <v>0</v>
      </c>
      <c r="CK181" s="351">
        <f t="shared" si="509"/>
        <v>0</v>
      </c>
      <c r="CL181" s="351">
        <f t="shared" si="510"/>
        <v>0</v>
      </c>
      <c r="CM181" s="351">
        <f t="shared" si="511"/>
        <v>0</v>
      </c>
      <c r="CN181" s="352">
        <f t="shared" si="512"/>
        <v>130000</v>
      </c>
      <c r="CO181" s="351">
        <f t="shared" si="513"/>
        <v>0</v>
      </c>
      <c r="CP181" s="351">
        <f t="shared" si="514"/>
        <v>0</v>
      </c>
      <c r="CQ181" s="351">
        <f t="shared" si="515"/>
        <v>0</v>
      </c>
      <c r="CR181" s="351">
        <f t="shared" si="516"/>
        <v>0</v>
      </c>
      <c r="CS181" s="352">
        <f t="shared" si="517"/>
        <v>130000</v>
      </c>
      <c r="CT181" s="14"/>
    </row>
    <row r="182" spans="1:98" s="4" customFormat="1" ht="120" x14ac:dyDescent="0.3">
      <c r="A182" s="796" t="s">
        <v>360</v>
      </c>
      <c r="B182" s="804" t="s">
        <v>361</v>
      </c>
      <c r="C182" s="188" t="s">
        <v>1312</v>
      </c>
      <c r="D182" s="187" t="s">
        <v>1167</v>
      </c>
      <c r="E182" s="43" t="s">
        <v>152</v>
      </c>
      <c r="F182" s="192" t="s">
        <v>359</v>
      </c>
      <c r="G182" s="43" t="s">
        <v>62</v>
      </c>
      <c r="H182" s="527"/>
      <c r="I182" s="187">
        <v>50</v>
      </c>
      <c r="J182" s="637">
        <v>90</v>
      </c>
      <c r="K182" s="289">
        <v>75</v>
      </c>
      <c r="L182" s="637">
        <v>100</v>
      </c>
      <c r="M182" s="643">
        <v>100</v>
      </c>
      <c r="N182" s="597"/>
      <c r="O182" s="617" t="s">
        <v>1645</v>
      </c>
      <c r="P182" s="444"/>
      <c r="Q182" s="64">
        <v>100</v>
      </c>
      <c r="R182" s="115"/>
      <c r="S182" s="193"/>
      <c r="T182" s="193"/>
      <c r="U182" s="193"/>
      <c r="V182" s="193"/>
      <c r="W182" s="193"/>
      <c r="X182" s="193"/>
      <c r="Y182" s="193"/>
      <c r="Z182" s="193"/>
      <c r="AA182" s="165">
        <v>21600</v>
      </c>
      <c r="AB182" s="70"/>
      <c r="AC182" s="70"/>
      <c r="AD182" s="70"/>
      <c r="AE182" s="70"/>
      <c r="AF182" s="165">
        <v>60000</v>
      </c>
      <c r="AG182" s="164"/>
      <c r="AH182" s="164"/>
      <c r="AI182" s="164"/>
      <c r="AJ182" s="70"/>
      <c r="AK182" s="165">
        <v>20000</v>
      </c>
      <c r="AL182" s="164"/>
      <c r="AM182" s="164"/>
      <c r="AN182" s="70"/>
      <c r="AO182" s="70"/>
      <c r="AP182" s="165"/>
      <c r="AQ182" s="164"/>
      <c r="AR182" s="164"/>
      <c r="AS182" s="70"/>
      <c r="AT182" s="70"/>
      <c r="AU182" s="77"/>
      <c r="AV182" s="70"/>
      <c r="AW182" s="70"/>
      <c r="AX182" s="70"/>
      <c r="AY182" s="70"/>
      <c r="AZ182" s="77"/>
      <c r="BA182" s="70"/>
      <c r="BB182" s="70"/>
      <c r="BC182" s="70"/>
      <c r="BD182" s="70"/>
      <c r="BE182" s="77"/>
      <c r="BF182" s="70"/>
      <c r="BG182" s="70"/>
      <c r="BH182" s="70"/>
      <c r="BI182" s="70"/>
      <c r="BJ182" s="77"/>
      <c r="BK182" s="70"/>
      <c r="BL182" s="70"/>
      <c r="BM182" s="70"/>
      <c r="BN182" s="70"/>
      <c r="BO182" s="77"/>
      <c r="BP182" s="70"/>
      <c r="BQ182" s="70"/>
      <c r="BR182" s="70"/>
      <c r="BS182" s="70"/>
      <c r="BT182" s="77"/>
      <c r="BU182" s="70"/>
      <c r="BV182" s="70"/>
      <c r="BW182" s="70"/>
      <c r="BX182" s="70"/>
      <c r="BY182" s="77"/>
      <c r="BZ182" s="70"/>
      <c r="CA182" s="70"/>
      <c r="CB182" s="70"/>
      <c r="CC182" s="70"/>
      <c r="CD182" s="77"/>
      <c r="CE182" s="70"/>
      <c r="CF182" s="70"/>
      <c r="CG182" s="70"/>
      <c r="CH182" s="70"/>
      <c r="CI182" s="181">
        <f t="shared" si="507"/>
        <v>101600</v>
      </c>
      <c r="CJ182" s="180">
        <f t="shared" si="508"/>
        <v>0</v>
      </c>
      <c r="CK182" s="180">
        <f t="shared" si="509"/>
        <v>0</v>
      </c>
      <c r="CL182" s="180">
        <f t="shared" si="510"/>
        <v>0</v>
      </c>
      <c r="CM182" s="180">
        <f t="shared" si="511"/>
        <v>0</v>
      </c>
      <c r="CN182" s="181">
        <f t="shared" si="512"/>
        <v>101600</v>
      </c>
      <c r="CO182" s="180">
        <f t="shared" si="513"/>
        <v>0</v>
      </c>
      <c r="CP182" s="180">
        <f t="shared" si="514"/>
        <v>0</v>
      </c>
      <c r="CQ182" s="180">
        <f t="shared" si="515"/>
        <v>0</v>
      </c>
      <c r="CR182" s="180">
        <f t="shared" si="516"/>
        <v>0</v>
      </c>
      <c r="CS182" s="273">
        <f t="shared" si="517"/>
        <v>101600</v>
      </c>
      <c r="CT182" s="14"/>
    </row>
    <row r="183" spans="1:98" s="4" customFormat="1" ht="144" x14ac:dyDescent="0.3">
      <c r="A183" s="797"/>
      <c r="B183" s="805"/>
      <c r="C183" s="356" t="s">
        <v>1313</v>
      </c>
      <c r="D183" s="357" t="s">
        <v>1167</v>
      </c>
      <c r="E183" s="378" t="s">
        <v>325</v>
      </c>
      <c r="F183" s="334" t="s">
        <v>359</v>
      </c>
      <c r="G183" s="378" t="s">
        <v>62</v>
      </c>
      <c r="H183" s="527"/>
      <c r="I183" s="207"/>
      <c r="J183" s="637"/>
      <c r="K183" s="357"/>
      <c r="L183" s="637">
        <v>10</v>
      </c>
      <c r="M183" s="643">
        <v>0</v>
      </c>
      <c r="N183" s="592"/>
      <c r="O183" s="615" t="s">
        <v>1665</v>
      </c>
      <c r="P183" s="556"/>
      <c r="Q183" s="357">
        <v>10</v>
      </c>
      <c r="R183" s="357">
        <v>50</v>
      </c>
      <c r="S183" s="357">
        <v>100</v>
      </c>
      <c r="T183" s="353"/>
      <c r="U183" s="353"/>
      <c r="V183" s="353"/>
      <c r="W183" s="353"/>
      <c r="X183" s="353"/>
      <c r="Y183" s="353"/>
      <c r="Z183" s="353"/>
      <c r="AA183" s="70"/>
      <c r="AB183" s="70"/>
      <c r="AC183" s="70"/>
      <c r="AD183" s="70"/>
      <c r="AE183" s="70"/>
      <c r="AF183" s="342"/>
      <c r="AG183" s="341"/>
      <c r="AH183" s="341"/>
      <c r="AI183" s="341"/>
      <c r="AJ183" s="70"/>
      <c r="AK183" s="342">
        <v>1000</v>
      </c>
      <c r="AL183" s="341"/>
      <c r="AM183" s="341"/>
      <c r="AN183" s="70"/>
      <c r="AO183" s="70"/>
      <c r="AP183" s="342">
        <v>30000</v>
      </c>
      <c r="AQ183" s="341"/>
      <c r="AR183" s="341"/>
      <c r="AS183" s="70"/>
      <c r="AT183" s="70"/>
      <c r="AU183" s="342">
        <v>10000</v>
      </c>
      <c r="AV183" s="341"/>
      <c r="AW183" s="341"/>
      <c r="AX183" s="341"/>
      <c r="AY183" s="341"/>
      <c r="AZ183" s="342"/>
      <c r="BA183" s="341"/>
      <c r="BB183" s="341"/>
      <c r="BC183" s="341"/>
      <c r="BD183" s="341"/>
      <c r="BE183" s="342"/>
      <c r="BF183" s="341"/>
      <c r="BG183" s="70"/>
      <c r="BH183" s="70"/>
      <c r="BI183" s="70"/>
      <c r="BJ183" s="77"/>
      <c r="BK183" s="70"/>
      <c r="BL183" s="70"/>
      <c r="BM183" s="70"/>
      <c r="BN183" s="70"/>
      <c r="BO183" s="77"/>
      <c r="BP183" s="70"/>
      <c r="BQ183" s="70"/>
      <c r="BR183" s="70"/>
      <c r="BS183" s="70"/>
      <c r="BT183" s="77"/>
      <c r="BU183" s="70"/>
      <c r="BV183" s="70"/>
      <c r="BW183" s="70"/>
      <c r="BX183" s="70"/>
      <c r="BY183" s="77"/>
      <c r="BZ183" s="70"/>
      <c r="CA183" s="70"/>
      <c r="CB183" s="70"/>
      <c r="CC183" s="70"/>
      <c r="CD183" s="77"/>
      <c r="CE183" s="70"/>
      <c r="CF183" s="70"/>
      <c r="CG183" s="70"/>
      <c r="CH183" s="70"/>
      <c r="CI183" s="352">
        <f t="shared" ref="CI183:CI188" si="518">AA183+AF183+AK183</f>
        <v>1000</v>
      </c>
      <c r="CJ183" s="351">
        <f t="shared" ref="CJ183:CJ188" si="519">AB183+AG183+AL183</f>
        <v>0</v>
      </c>
      <c r="CK183" s="351">
        <f t="shared" ref="CK183:CK188" si="520">AC183+AH183+AM183</f>
        <v>0</v>
      </c>
      <c r="CL183" s="351">
        <f t="shared" ref="CL183:CL188" si="521">AD183+AI183+AN183</f>
        <v>0</v>
      </c>
      <c r="CM183" s="351">
        <f t="shared" ref="CM183:CM188" si="522">AE183+AJ183+AO183</f>
        <v>0</v>
      </c>
      <c r="CN183" s="352">
        <f t="shared" si="512"/>
        <v>41000</v>
      </c>
      <c r="CO183" s="351">
        <f t="shared" si="513"/>
        <v>0</v>
      </c>
      <c r="CP183" s="351">
        <f t="shared" si="514"/>
        <v>0</v>
      </c>
      <c r="CQ183" s="351">
        <f t="shared" si="515"/>
        <v>0</v>
      </c>
      <c r="CR183" s="351">
        <f t="shared" si="516"/>
        <v>0</v>
      </c>
      <c r="CS183" s="352">
        <f t="shared" si="517"/>
        <v>41000</v>
      </c>
      <c r="CT183" s="14"/>
    </row>
    <row r="184" spans="1:98" s="4" customFormat="1" ht="192" x14ac:dyDescent="0.3">
      <c r="A184" s="358" t="s">
        <v>1314</v>
      </c>
      <c r="B184" s="355" t="s">
        <v>363</v>
      </c>
      <c r="C184" s="356" t="s">
        <v>1315</v>
      </c>
      <c r="D184" s="357" t="s">
        <v>364</v>
      </c>
      <c r="E184" s="378" t="s">
        <v>1212</v>
      </c>
      <c r="F184" s="334" t="s">
        <v>365</v>
      </c>
      <c r="G184" s="357" t="s">
        <v>62</v>
      </c>
      <c r="H184" s="532"/>
      <c r="I184" s="80"/>
      <c r="J184" s="80"/>
      <c r="K184" s="80"/>
      <c r="L184" s="80"/>
      <c r="M184" s="661"/>
      <c r="N184" s="603"/>
      <c r="O184" s="446"/>
      <c r="P184" s="446"/>
      <c r="Q184" s="80"/>
      <c r="R184" s="357"/>
      <c r="S184" s="357">
        <v>30</v>
      </c>
      <c r="T184" s="357">
        <v>50</v>
      </c>
      <c r="U184" s="357">
        <v>70</v>
      </c>
      <c r="V184" s="357">
        <v>100</v>
      </c>
      <c r="W184" s="353"/>
      <c r="X184" s="353"/>
      <c r="Y184" s="353"/>
      <c r="Z184" s="353"/>
      <c r="AA184" s="70"/>
      <c r="AB184" s="70"/>
      <c r="AC184" s="70"/>
      <c r="AD184" s="70"/>
      <c r="AE184" s="70"/>
      <c r="AF184" s="342"/>
      <c r="AG184" s="341"/>
      <c r="AH184" s="341"/>
      <c r="AI184" s="341"/>
      <c r="AJ184" s="70"/>
      <c r="AK184" s="342"/>
      <c r="AL184" s="341"/>
      <c r="AM184" s="341"/>
      <c r="AN184" s="70"/>
      <c r="AO184" s="70"/>
      <c r="AP184" s="342"/>
      <c r="AQ184" s="341"/>
      <c r="AR184" s="341"/>
      <c r="AS184" s="70"/>
      <c r="AT184" s="70"/>
      <c r="AU184" s="342">
        <v>18000</v>
      </c>
      <c r="AV184" s="341"/>
      <c r="AW184" s="341"/>
      <c r="AX184" s="341"/>
      <c r="AY184" s="341"/>
      <c r="AZ184" s="342">
        <v>2000</v>
      </c>
      <c r="BA184" s="341"/>
      <c r="BB184" s="341"/>
      <c r="BC184" s="341"/>
      <c r="BD184" s="341"/>
      <c r="BE184" s="342">
        <v>2000</v>
      </c>
      <c r="BF184" s="341"/>
      <c r="BG184" s="70"/>
      <c r="BH184" s="70"/>
      <c r="BI184" s="70"/>
      <c r="BJ184" s="77"/>
      <c r="BK184" s="70"/>
      <c r="BL184" s="70"/>
      <c r="BM184" s="70"/>
      <c r="BN184" s="70"/>
      <c r="BO184" s="77"/>
      <c r="BP184" s="70"/>
      <c r="BQ184" s="70"/>
      <c r="BR184" s="70"/>
      <c r="BS184" s="70"/>
      <c r="BT184" s="77"/>
      <c r="BU184" s="70"/>
      <c r="BV184" s="70"/>
      <c r="BW184" s="70"/>
      <c r="BX184" s="70"/>
      <c r="BY184" s="77"/>
      <c r="BZ184" s="70"/>
      <c r="CA184" s="70"/>
      <c r="CB184" s="70"/>
      <c r="CC184" s="70"/>
      <c r="CD184" s="77"/>
      <c r="CE184" s="70"/>
      <c r="CF184" s="70"/>
      <c r="CG184" s="70"/>
      <c r="CH184" s="70"/>
      <c r="CI184" s="352">
        <f t="shared" si="518"/>
        <v>0</v>
      </c>
      <c r="CJ184" s="351">
        <f t="shared" si="519"/>
        <v>0</v>
      </c>
      <c r="CK184" s="351">
        <f t="shared" si="520"/>
        <v>0</v>
      </c>
      <c r="CL184" s="351">
        <f t="shared" si="521"/>
        <v>0</v>
      </c>
      <c r="CM184" s="351">
        <f t="shared" si="522"/>
        <v>0</v>
      </c>
      <c r="CN184" s="352">
        <f t="shared" si="512"/>
        <v>22000</v>
      </c>
      <c r="CO184" s="351">
        <f t="shared" si="513"/>
        <v>0</v>
      </c>
      <c r="CP184" s="351">
        <f t="shared" si="514"/>
        <v>0</v>
      </c>
      <c r="CQ184" s="351">
        <f t="shared" si="515"/>
        <v>0</v>
      </c>
      <c r="CR184" s="351">
        <f t="shared" si="516"/>
        <v>0</v>
      </c>
      <c r="CS184" s="352">
        <f t="shared" si="517"/>
        <v>22000</v>
      </c>
      <c r="CT184" s="14"/>
    </row>
    <row r="185" spans="1:98" s="4" customFormat="1" ht="96" x14ac:dyDescent="0.3">
      <c r="A185" s="796" t="s">
        <v>362</v>
      </c>
      <c r="B185" s="804" t="s">
        <v>367</v>
      </c>
      <c r="C185" s="506" t="s">
        <v>1316</v>
      </c>
      <c r="D185" s="503" t="s">
        <v>364</v>
      </c>
      <c r="E185" s="502" t="s">
        <v>368</v>
      </c>
      <c r="F185" s="481" t="s">
        <v>369</v>
      </c>
      <c r="G185" s="503" t="s">
        <v>62</v>
      </c>
      <c r="H185" s="532"/>
      <c r="I185" s="503"/>
      <c r="J185" s="637">
        <v>10</v>
      </c>
      <c r="K185" s="503">
        <v>5</v>
      </c>
      <c r="L185" s="637">
        <v>20</v>
      </c>
      <c r="M185" s="643">
        <v>0</v>
      </c>
      <c r="N185" s="600" t="s">
        <v>1549</v>
      </c>
      <c r="O185" s="511" t="s">
        <v>1732</v>
      </c>
      <c r="P185" s="673" t="s">
        <v>1723</v>
      </c>
      <c r="Q185" s="503">
        <v>20</v>
      </c>
      <c r="R185" s="503">
        <v>40</v>
      </c>
      <c r="S185" s="503">
        <v>60</v>
      </c>
      <c r="T185" s="503">
        <v>70</v>
      </c>
      <c r="U185" s="503">
        <v>80</v>
      </c>
      <c r="V185" s="503">
        <v>85</v>
      </c>
      <c r="W185" s="503">
        <v>90</v>
      </c>
      <c r="X185" s="503">
        <v>95</v>
      </c>
      <c r="Y185" s="503">
        <v>100</v>
      </c>
      <c r="Z185" s="476"/>
      <c r="AA185" s="70"/>
      <c r="AB185" s="70"/>
      <c r="AC185" s="70"/>
      <c r="AD185" s="70"/>
      <c r="AE185" s="70"/>
      <c r="AF185" s="494">
        <v>1000</v>
      </c>
      <c r="AG185" s="491"/>
      <c r="AH185" s="491"/>
      <c r="AI185" s="491"/>
      <c r="AJ185" s="70"/>
      <c r="AK185" s="494">
        <v>2000</v>
      </c>
      <c r="AL185" s="491"/>
      <c r="AM185" s="491"/>
      <c r="AN185" s="70"/>
      <c r="AO185" s="70"/>
      <c r="AP185" s="494">
        <v>2000</v>
      </c>
      <c r="AQ185" s="491"/>
      <c r="AR185" s="491"/>
      <c r="AS185" s="70"/>
      <c r="AT185" s="70"/>
      <c r="AU185" s="494">
        <v>2000</v>
      </c>
      <c r="AV185" s="491"/>
      <c r="AW185" s="70"/>
      <c r="AX185" s="70"/>
      <c r="AY185" s="70"/>
      <c r="AZ185" s="494">
        <v>2000</v>
      </c>
      <c r="BA185" s="491"/>
      <c r="BB185" s="70"/>
      <c r="BC185" s="70"/>
      <c r="BD185" s="70"/>
      <c r="BE185" s="494">
        <v>2000</v>
      </c>
      <c r="BF185" s="491"/>
      <c r="BG185" s="70"/>
      <c r="BH185" s="70"/>
      <c r="BI185" s="70"/>
      <c r="BJ185" s="494">
        <v>2000</v>
      </c>
      <c r="BK185" s="491"/>
      <c r="BL185" s="70"/>
      <c r="BM185" s="70"/>
      <c r="BN185" s="70"/>
      <c r="BO185" s="494">
        <v>2000</v>
      </c>
      <c r="BP185" s="491"/>
      <c r="BQ185" s="70"/>
      <c r="BR185" s="70"/>
      <c r="BS185" s="70"/>
      <c r="BT185" s="494">
        <v>2000</v>
      </c>
      <c r="BU185" s="491"/>
      <c r="BV185" s="70"/>
      <c r="BW185" s="70"/>
      <c r="BX185" s="70"/>
      <c r="BY185" s="494">
        <v>2000</v>
      </c>
      <c r="BZ185" s="491"/>
      <c r="CA185" s="70"/>
      <c r="CB185" s="70"/>
      <c r="CC185" s="70"/>
      <c r="CD185" s="494"/>
      <c r="CE185" s="491"/>
      <c r="CF185" s="70"/>
      <c r="CG185" s="70"/>
      <c r="CH185" s="70"/>
      <c r="CI185" s="501">
        <f t="shared" si="518"/>
        <v>3000</v>
      </c>
      <c r="CJ185" s="492">
        <f t="shared" si="519"/>
        <v>0</v>
      </c>
      <c r="CK185" s="492">
        <f t="shared" si="520"/>
        <v>0</v>
      </c>
      <c r="CL185" s="492">
        <f t="shared" si="521"/>
        <v>0</v>
      </c>
      <c r="CM185" s="492">
        <f t="shared" si="522"/>
        <v>0</v>
      </c>
      <c r="CN185" s="501">
        <f t="shared" si="512"/>
        <v>19000</v>
      </c>
      <c r="CO185" s="492">
        <f t="shared" si="513"/>
        <v>0</v>
      </c>
      <c r="CP185" s="492">
        <f t="shared" si="514"/>
        <v>0</v>
      </c>
      <c r="CQ185" s="492">
        <f t="shared" si="515"/>
        <v>0</v>
      </c>
      <c r="CR185" s="492">
        <f t="shared" si="516"/>
        <v>0</v>
      </c>
      <c r="CS185" s="501">
        <f t="shared" si="517"/>
        <v>19000</v>
      </c>
      <c r="CT185" s="14"/>
    </row>
    <row r="186" spans="1:98" s="4" customFormat="1" ht="48" x14ac:dyDescent="0.3">
      <c r="A186" s="797"/>
      <c r="B186" s="805"/>
      <c r="C186" s="356" t="s">
        <v>1317</v>
      </c>
      <c r="D186" s="357" t="s">
        <v>364</v>
      </c>
      <c r="E186" s="378" t="s">
        <v>1213</v>
      </c>
      <c r="F186" s="334" t="s">
        <v>370</v>
      </c>
      <c r="G186" s="357" t="s">
        <v>62</v>
      </c>
      <c r="H186" s="532"/>
      <c r="I186" s="357"/>
      <c r="J186" s="637"/>
      <c r="K186" s="357"/>
      <c r="L186" s="637"/>
      <c r="M186" s="643">
        <v>0</v>
      </c>
      <c r="N186" s="592"/>
      <c r="O186" s="511" t="s">
        <v>1666</v>
      </c>
      <c r="P186" s="556"/>
      <c r="Q186" s="357"/>
      <c r="R186" s="357">
        <v>10</v>
      </c>
      <c r="S186" s="357">
        <v>20</v>
      </c>
      <c r="T186" s="357">
        <v>30</v>
      </c>
      <c r="U186" s="357">
        <v>40</v>
      </c>
      <c r="V186" s="357">
        <v>50</v>
      </c>
      <c r="W186" s="357">
        <v>60</v>
      </c>
      <c r="X186" s="357">
        <v>70</v>
      </c>
      <c r="Y186" s="357">
        <v>85</v>
      </c>
      <c r="Z186" s="353">
        <v>100</v>
      </c>
      <c r="AA186" s="70"/>
      <c r="AB186" s="70"/>
      <c r="AC186" s="70"/>
      <c r="AD186" s="70"/>
      <c r="AE186" s="70"/>
      <c r="AF186" s="342"/>
      <c r="AG186" s="341"/>
      <c r="AH186" s="341"/>
      <c r="AI186" s="341"/>
      <c r="AJ186" s="70"/>
      <c r="AK186" s="342"/>
      <c r="AL186" s="341"/>
      <c r="AM186" s="341"/>
      <c r="AN186" s="70"/>
      <c r="AO186" s="70"/>
      <c r="AP186" s="342">
        <v>5000</v>
      </c>
      <c r="AQ186" s="341"/>
      <c r="AR186" s="341"/>
      <c r="AS186" s="70"/>
      <c r="AT186" s="70"/>
      <c r="AU186" s="342">
        <v>5000</v>
      </c>
      <c r="AV186" s="341"/>
      <c r="AW186" s="70"/>
      <c r="AX186" s="70"/>
      <c r="AY186" s="70"/>
      <c r="AZ186" s="342">
        <v>5000</v>
      </c>
      <c r="BA186" s="341"/>
      <c r="BB186" s="70"/>
      <c r="BC186" s="70"/>
      <c r="BD186" s="70"/>
      <c r="BE186" s="342">
        <v>5000</v>
      </c>
      <c r="BF186" s="341"/>
      <c r="BG186" s="70"/>
      <c r="BH186" s="70"/>
      <c r="BI186" s="70"/>
      <c r="BJ186" s="342">
        <v>5000</v>
      </c>
      <c r="BK186" s="341"/>
      <c r="BL186" s="70"/>
      <c r="BM186" s="70"/>
      <c r="BN186" s="70"/>
      <c r="BO186" s="342">
        <v>5000</v>
      </c>
      <c r="BP186" s="341"/>
      <c r="BQ186" s="70"/>
      <c r="BR186" s="70"/>
      <c r="BS186" s="70"/>
      <c r="BT186" s="342">
        <v>5000</v>
      </c>
      <c r="BU186" s="341"/>
      <c r="BV186" s="70"/>
      <c r="BW186" s="70"/>
      <c r="BX186" s="70"/>
      <c r="BY186" s="342">
        <v>5000</v>
      </c>
      <c r="BZ186" s="341"/>
      <c r="CA186" s="70"/>
      <c r="CB186" s="70"/>
      <c r="CC186" s="70"/>
      <c r="CD186" s="342">
        <v>5000</v>
      </c>
      <c r="CE186" s="341"/>
      <c r="CF186" s="70"/>
      <c r="CG186" s="70"/>
      <c r="CH186" s="70"/>
      <c r="CI186" s="352">
        <f t="shared" si="518"/>
        <v>0</v>
      </c>
      <c r="CJ186" s="351">
        <f t="shared" si="519"/>
        <v>0</v>
      </c>
      <c r="CK186" s="351">
        <f t="shared" si="520"/>
        <v>0</v>
      </c>
      <c r="CL186" s="351">
        <f t="shared" si="521"/>
        <v>0</v>
      </c>
      <c r="CM186" s="351">
        <f t="shared" si="522"/>
        <v>0</v>
      </c>
      <c r="CN186" s="352">
        <f t="shared" si="512"/>
        <v>45000</v>
      </c>
      <c r="CO186" s="351">
        <f t="shared" si="513"/>
        <v>0</v>
      </c>
      <c r="CP186" s="351">
        <f t="shared" si="514"/>
        <v>0</v>
      </c>
      <c r="CQ186" s="351">
        <f t="shared" si="515"/>
        <v>0</v>
      </c>
      <c r="CR186" s="351">
        <f t="shared" si="516"/>
        <v>0</v>
      </c>
      <c r="CS186" s="352">
        <f t="shared" si="517"/>
        <v>45000</v>
      </c>
      <c r="CT186" s="14"/>
    </row>
    <row r="187" spans="1:98" s="4" customFormat="1" ht="120" x14ac:dyDescent="0.3">
      <c r="A187" s="358" t="s">
        <v>366</v>
      </c>
      <c r="B187" s="356" t="s">
        <v>372</v>
      </c>
      <c r="C187" s="356" t="s">
        <v>1318</v>
      </c>
      <c r="D187" s="357" t="s">
        <v>364</v>
      </c>
      <c r="E187" s="357" t="s">
        <v>1188</v>
      </c>
      <c r="F187" s="334" t="s">
        <v>373</v>
      </c>
      <c r="G187" s="357" t="s">
        <v>62</v>
      </c>
      <c r="H187" s="533"/>
      <c r="I187" s="357"/>
      <c r="J187" s="637"/>
      <c r="K187" s="357"/>
      <c r="L187" s="637">
        <v>10</v>
      </c>
      <c r="M187" s="643">
        <v>10</v>
      </c>
      <c r="N187" s="592"/>
      <c r="O187" s="615"/>
      <c r="P187" s="556"/>
      <c r="Q187" s="357">
        <v>10</v>
      </c>
      <c r="R187" s="357">
        <v>20</v>
      </c>
      <c r="S187" s="357">
        <v>30</v>
      </c>
      <c r="T187" s="357">
        <v>40</v>
      </c>
      <c r="U187" s="357">
        <v>50</v>
      </c>
      <c r="V187" s="357">
        <v>60</v>
      </c>
      <c r="W187" s="357">
        <v>70</v>
      </c>
      <c r="X187" s="357">
        <v>80</v>
      </c>
      <c r="Y187" s="357">
        <v>90</v>
      </c>
      <c r="Z187" s="357">
        <v>100</v>
      </c>
      <c r="AA187" s="70"/>
      <c r="AB187" s="70"/>
      <c r="AC187" s="70"/>
      <c r="AD187" s="70"/>
      <c r="AE187" s="70"/>
      <c r="AF187" s="342"/>
      <c r="AG187" s="341"/>
      <c r="AH187" s="341"/>
      <c r="AI187" s="341"/>
      <c r="AJ187" s="70"/>
      <c r="AK187" s="342">
        <v>1000</v>
      </c>
      <c r="AL187" s="341"/>
      <c r="AM187" s="341"/>
      <c r="AN187" s="70"/>
      <c r="AO187" s="70"/>
      <c r="AP187" s="342">
        <v>1000</v>
      </c>
      <c r="AQ187" s="341"/>
      <c r="AR187" s="341"/>
      <c r="AS187" s="70"/>
      <c r="AT187" s="70"/>
      <c r="AU187" s="342">
        <v>1000</v>
      </c>
      <c r="AV187" s="341"/>
      <c r="AW187" s="70"/>
      <c r="AX187" s="70"/>
      <c r="AY187" s="70"/>
      <c r="AZ187" s="342">
        <v>1000</v>
      </c>
      <c r="BA187" s="341"/>
      <c r="BB187" s="70"/>
      <c r="BC187" s="70"/>
      <c r="BD187" s="70"/>
      <c r="BE187" s="342">
        <v>1000</v>
      </c>
      <c r="BF187" s="341"/>
      <c r="BG187" s="70"/>
      <c r="BH187" s="70"/>
      <c r="BI187" s="70"/>
      <c r="BJ187" s="342">
        <v>1000</v>
      </c>
      <c r="BK187" s="341"/>
      <c r="BL187" s="70"/>
      <c r="BM187" s="70"/>
      <c r="BN187" s="70"/>
      <c r="BO187" s="342">
        <v>1000</v>
      </c>
      <c r="BP187" s="341"/>
      <c r="BQ187" s="70"/>
      <c r="BR187" s="70"/>
      <c r="BS187" s="70"/>
      <c r="BT187" s="342">
        <v>1000</v>
      </c>
      <c r="BU187" s="341"/>
      <c r="BV187" s="70"/>
      <c r="BW187" s="70"/>
      <c r="BX187" s="70"/>
      <c r="BY187" s="342">
        <v>1000</v>
      </c>
      <c r="BZ187" s="341"/>
      <c r="CA187" s="70"/>
      <c r="CB187" s="70"/>
      <c r="CC187" s="70"/>
      <c r="CD187" s="342">
        <v>1000</v>
      </c>
      <c r="CE187" s="341"/>
      <c r="CF187" s="70"/>
      <c r="CG187" s="70"/>
      <c r="CH187" s="70"/>
      <c r="CI187" s="352">
        <f t="shared" si="518"/>
        <v>1000</v>
      </c>
      <c r="CJ187" s="351">
        <f t="shared" si="519"/>
        <v>0</v>
      </c>
      <c r="CK187" s="351">
        <f t="shared" si="520"/>
        <v>0</v>
      </c>
      <c r="CL187" s="351">
        <f t="shared" si="521"/>
        <v>0</v>
      </c>
      <c r="CM187" s="351">
        <f t="shared" si="522"/>
        <v>0</v>
      </c>
      <c r="CN187" s="352">
        <f t="shared" si="512"/>
        <v>10000</v>
      </c>
      <c r="CO187" s="351">
        <f t="shared" si="513"/>
        <v>0</v>
      </c>
      <c r="CP187" s="351">
        <f t="shared" si="514"/>
        <v>0</v>
      </c>
      <c r="CQ187" s="351">
        <f t="shared" si="515"/>
        <v>0</v>
      </c>
      <c r="CR187" s="351">
        <f t="shared" si="516"/>
        <v>0</v>
      </c>
      <c r="CS187" s="352">
        <f t="shared" si="517"/>
        <v>10000</v>
      </c>
      <c r="CT187" s="14"/>
    </row>
    <row r="188" spans="1:98" s="4" customFormat="1" ht="168" x14ac:dyDescent="0.3">
      <c r="A188" s="796" t="s">
        <v>371</v>
      </c>
      <c r="B188" s="804" t="s">
        <v>375</v>
      </c>
      <c r="C188" s="505" t="s">
        <v>1319</v>
      </c>
      <c r="D188" s="503" t="s">
        <v>364</v>
      </c>
      <c r="E188" s="503" t="s">
        <v>376</v>
      </c>
      <c r="F188" s="481" t="s">
        <v>377</v>
      </c>
      <c r="G188" s="503" t="s">
        <v>62</v>
      </c>
      <c r="H188" s="533"/>
      <c r="I188" s="503"/>
      <c r="J188" s="637">
        <v>20</v>
      </c>
      <c r="K188" s="503" t="s">
        <v>140</v>
      </c>
      <c r="L188" s="637">
        <v>40</v>
      </c>
      <c r="M188" s="643">
        <v>20</v>
      </c>
      <c r="N188" s="598" t="s">
        <v>1550</v>
      </c>
      <c r="O188" s="617" t="s">
        <v>1667</v>
      </c>
      <c r="P188" s="557"/>
      <c r="Q188" s="503">
        <v>40</v>
      </c>
      <c r="R188" s="503">
        <v>60</v>
      </c>
      <c r="S188" s="503">
        <v>80</v>
      </c>
      <c r="T188" s="503">
        <v>100</v>
      </c>
      <c r="U188" s="476"/>
      <c r="V188" s="476"/>
      <c r="W188" s="476"/>
      <c r="X188" s="476"/>
      <c r="Y188" s="476"/>
      <c r="Z188" s="476"/>
      <c r="AA188" s="494"/>
      <c r="AB188" s="491"/>
      <c r="AC188" s="491"/>
      <c r="AD188" s="491"/>
      <c r="AE188" s="491"/>
      <c r="AF188" s="494">
        <v>925</v>
      </c>
      <c r="AG188" s="491"/>
      <c r="AH188" s="491"/>
      <c r="AI188" s="491"/>
      <c r="AJ188" s="491"/>
      <c r="AK188" s="494">
        <v>925</v>
      </c>
      <c r="AL188" s="491"/>
      <c r="AM188" s="491"/>
      <c r="AN188" s="70"/>
      <c r="AO188" s="70"/>
      <c r="AP188" s="494">
        <v>925</v>
      </c>
      <c r="AQ188" s="491"/>
      <c r="AR188" s="491"/>
      <c r="AS188" s="70"/>
      <c r="AT188" s="70"/>
      <c r="AU188" s="494">
        <v>925</v>
      </c>
      <c r="AV188" s="491"/>
      <c r="AW188" s="70"/>
      <c r="AX188" s="70"/>
      <c r="AY188" s="70"/>
      <c r="AZ188" s="494">
        <v>925</v>
      </c>
      <c r="BA188" s="491"/>
      <c r="BB188" s="70"/>
      <c r="BC188" s="70"/>
      <c r="BD188" s="70"/>
      <c r="BE188" s="77"/>
      <c r="BF188" s="70"/>
      <c r="BG188" s="70"/>
      <c r="BH188" s="70"/>
      <c r="BI188" s="70"/>
      <c r="BJ188" s="77"/>
      <c r="BK188" s="70"/>
      <c r="BL188" s="70"/>
      <c r="BM188" s="70"/>
      <c r="BN188" s="70"/>
      <c r="BO188" s="77"/>
      <c r="BP188" s="70"/>
      <c r="BQ188" s="70"/>
      <c r="BR188" s="70"/>
      <c r="BS188" s="70"/>
      <c r="BT188" s="77"/>
      <c r="BU188" s="70"/>
      <c r="BV188" s="70"/>
      <c r="BW188" s="70"/>
      <c r="BX188" s="70"/>
      <c r="BY188" s="77"/>
      <c r="BZ188" s="70"/>
      <c r="CA188" s="70"/>
      <c r="CB188" s="70"/>
      <c r="CC188" s="70"/>
      <c r="CD188" s="77"/>
      <c r="CE188" s="70"/>
      <c r="CF188" s="70"/>
      <c r="CG188" s="70"/>
      <c r="CH188" s="70"/>
      <c r="CI188" s="501">
        <f t="shared" si="518"/>
        <v>1850</v>
      </c>
      <c r="CJ188" s="492">
        <f t="shared" si="519"/>
        <v>0</v>
      </c>
      <c r="CK188" s="492">
        <f t="shared" si="520"/>
        <v>0</v>
      </c>
      <c r="CL188" s="492">
        <f t="shared" si="521"/>
        <v>0</v>
      </c>
      <c r="CM188" s="492">
        <f t="shared" si="522"/>
        <v>0</v>
      </c>
      <c r="CN188" s="501">
        <f t="shared" si="512"/>
        <v>4625</v>
      </c>
      <c r="CO188" s="492">
        <f t="shared" si="513"/>
        <v>0</v>
      </c>
      <c r="CP188" s="492">
        <f t="shared" si="514"/>
        <v>0</v>
      </c>
      <c r="CQ188" s="492">
        <f t="shared" si="515"/>
        <v>0</v>
      </c>
      <c r="CR188" s="492">
        <f t="shared" si="516"/>
        <v>0</v>
      </c>
      <c r="CS188" s="501">
        <f t="shared" si="517"/>
        <v>4625</v>
      </c>
      <c r="CT188" s="471"/>
    </row>
    <row r="189" spans="1:98" s="4" customFormat="1" ht="72" x14ac:dyDescent="0.3">
      <c r="A189" s="851"/>
      <c r="B189" s="852"/>
      <c r="C189" s="189" t="s">
        <v>1320</v>
      </c>
      <c r="D189" s="187" t="s">
        <v>364</v>
      </c>
      <c r="E189" s="187" t="s">
        <v>124</v>
      </c>
      <c r="F189" s="192" t="s">
        <v>377</v>
      </c>
      <c r="G189" s="187" t="s">
        <v>62</v>
      </c>
      <c r="H189" s="533"/>
      <c r="I189" s="187">
        <v>75</v>
      </c>
      <c r="J189" s="637">
        <v>80</v>
      </c>
      <c r="K189" s="289">
        <v>25</v>
      </c>
      <c r="L189" s="637">
        <v>85</v>
      </c>
      <c r="M189" s="643">
        <v>0</v>
      </c>
      <c r="N189" s="597"/>
      <c r="O189" s="617" t="s">
        <v>1668</v>
      </c>
      <c r="P189" s="444"/>
      <c r="Q189" s="187">
        <v>85</v>
      </c>
      <c r="R189" s="187">
        <v>90</v>
      </c>
      <c r="S189" s="187">
        <v>95</v>
      </c>
      <c r="T189" s="187">
        <v>100</v>
      </c>
      <c r="U189" s="193"/>
      <c r="V189" s="193"/>
      <c r="W189" s="193"/>
      <c r="X189" s="193"/>
      <c r="Y189" s="193"/>
      <c r="Z189" s="193"/>
      <c r="AA189" s="165">
        <v>1100</v>
      </c>
      <c r="AB189" s="164"/>
      <c r="AC189" s="164"/>
      <c r="AD189" s="164"/>
      <c r="AE189" s="164"/>
      <c r="AF189" s="165">
        <v>227.5</v>
      </c>
      <c r="AG189" s="164"/>
      <c r="AH189" s="164"/>
      <c r="AI189" s="164"/>
      <c r="AJ189" s="164"/>
      <c r="AK189" s="165">
        <v>227.5</v>
      </c>
      <c r="AL189" s="164"/>
      <c r="AM189" s="164"/>
      <c r="AN189" s="70"/>
      <c r="AO189" s="70"/>
      <c r="AP189" s="165">
        <v>227.5</v>
      </c>
      <c r="AQ189" s="164"/>
      <c r="AR189" s="164"/>
      <c r="AS189" s="70"/>
      <c r="AT189" s="70"/>
      <c r="AU189" s="165">
        <v>227.5</v>
      </c>
      <c r="AV189" s="164"/>
      <c r="AW189" s="70"/>
      <c r="AX189" s="70"/>
      <c r="AY189" s="70"/>
      <c r="AZ189" s="165">
        <v>227.5</v>
      </c>
      <c r="BA189" s="164"/>
      <c r="BB189" s="70"/>
      <c r="BC189" s="70"/>
      <c r="BD189" s="70"/>
      <c r="BE189" s="77"/>
      <c r="BF189" s="70"/>
      <c r="BG189" s="70"/>
      <c r="BH189" s="70"/>
      <c r="BI189" s="70"/>
      <c r="BJ189" s="77"/>
      <c r="BK189" s="70"/>
      <c r="BL189" s="70"/>
      <c r="BM189" s="70"/>
      <c r="BN189" s="70"/>
      <c r="BO189" s="77"/>
      <c r="BP189" s="70"/>
      <c r="BQ189" s="70"/>
      <c r="BR189" s="70"/>
      <c r="BS189" s="70"/>
      <c r="BT189" s="77"/>
      <c r="BU189" s="70"/>
      <c r="BV189" s="70"/>
      <c r="BW189" s="70"/>
      <c r="BX189" s="70"/>
      <c r="BY189" s="77"/>
      <c r="BZ189" s="70"/>
      <c r="CA189" s="70"/>
      <c r="CB189" s="70"/>
      <c r="CC189" s="70"/>
      <c r="CD189" s="77"/>
      <c r="CE189" s="70"/>
      <c r="CF189" s="70"/>
      <c r="CG189" s="70"/>
      <c r="CH189" s="70"/>
      <c r="CI189" s="181">
        <f t="shared" ref="CI189:CI192" si="523">AA189+AF189+AK189</f>
        <v>1555</v>
      </c>
      <c r="CJ189" s="180">
        <f t="shared" ref="CJ189:CJ192" si="524">AB189+AG189+AL189</f>
        <v>0</v>
      </c>
      <c r="CK189" s="180">
        <f t="shared" ref="CK189:CK192" si="525">AC189+AH189+AM189</f>
        <v>0</v>
      </c>
      <c r="CL189" s="180">
        <f t="shared" ref="CL189:CL192" si="526">AD189+AI189+AN189</f>
        <v>0</v>
      </c>
      <c r="CM189" s="180">
        <f t="shared" ref="CM189:CM192" si="527">AE189+AJ189+AO189</f>
        <v>0</v>
      </c>
      <c r="CN189" s="181">
        <f t="shared" si="512"/>
        <v>2237.5</v>
      </c>
      <c r="CO189" s="180">
        <f t="shared" si="513"/>
        <v>0</v>
      </c>
      <c r="CP189" s="180">
        <f t="shared" si="514"/>
        <v>0</v>
      </c>
      <c r="CQ189" s="180">
        <f t="shared" si="515"/>
        <v>0</v>
      </c>
      <c r="CR189" s="180">
        <f t="shared" si="516"/>
        <v>0</v>
      </c>
      <c r="CS189" s="273">
        <f t="shared" si="517"/>
        <v>2237.5</v>
      </c>
      <c r="CT189" s="14"/>
    </row>
    <row r="190" spans="1:98" s="4" customFormat="1" ht="120" x14ac:dyDescent="0.3">
      <c r="A190" s="797"/>
      <c r="B190" s="805"/>
      <c r="C190" s="189" t="s">
        <v>1321</v>
      </c>
      <c r="D190" s="187" t="s">
        <v>364</v>
      </c>
      <c r="E190" s="187" t="s">
        <v>378</v>
      </c>
      <c r="F190" s="192" t="s">
        <v>377</v>
      </c>
      <c r="G190" s="187" t="s">
        <v>62</v>
      </c>
      <c r="H190" s="533"/>
      <c r="I190" s="187"/>
      <c r="J190" s="637"/>
      <c r="K190" s="289"/>
      <c r="L190" s="637"/>
      <c r="M190" s="643"/>
      <c r="N190" s="597"/>
      <c r="O190" s="511"/>
      <c r="P190" s="444"/>
      <c r="Q190" s="187"/>
      <c r="R190" s="187">
        <v>50</v>
      </c>
      <c r="S190" s="187">
        <v>75</v>
      </c>
      <c r="T190" s="187">
        <v>100</v>
      </c>
      <c r="U190" s="193"/>
      <c r="V190" s="193"/>
      <c r="W190" s="193"/>
      <c r="X190" s="193"/>
      <c r="Y190" s="193"/>
      <c r="Z190" s="193"/>
      <c r="AA190" s="165"/>
      <c r="AB190" s="164"/>
      <c r="AC190" s="164"/>
      <c r="AD190" s="164"/>
      <c r="AE190" s="164"/>
      <c r="AF190" s="165"/>
      <c r="AG190" s="164"/>
      <c r="AH190" s="164"/>
      <c r="AI190" s="164"/>
      <c r="AJ190" s="164"/>
      <c r="AK190" s="165"/>
      <c r="AL190" s="164"/>
      <c r="AM190" s="164"/>
      <c r="AN190" s="70"/>
      <c r="AO190" s="70"/>
      <c r="AP190" s="165">
        <v>300</v>
      </c>
      <c r="AQ190" s="164"/>
      <c r="AR190" s="164"/>
      <c r="AS190" s="70"/>
      <c r="AT190" s="70"/>
      <c r="AU190" s="165">
        <v>250</v>
      </c>
      <c r="AV190" s="164"/>
      <c r="AW190" s="70"/>
      <c r="AX190" s="70"/>
      <c r="AY190" s="70"/>
      <c r="AZ190" s="165">
        <v>250</v>
      </c>
      <c r="BA190" s="164"/>
      <c r="BB190" s="70"/>
      <c r="BC190" s="70"/>
      <c r="BD190" s="70"/>
      <c r="BE190" s="77"/>
      <c r="BF190" s="70"/>
      <c r="BG190" s="70"/>
      <c r="BH190" s="70"/>
      <c r="BI190" s="70"/>
      <c r="BJ190" s="77"/>
      <c r="BK190" s="70"/>
      <c r="BL190" s="70"/>
      <c r="BM190" s="70"/>
      <c r="BN190" s="70"/>
      <c r="BO190" s="77"/>
      <c r="BP190" s="70"/>
      <c r="BQ190" s="70"/>
      <c r="BR190" s="70"/>
      <c r="BS190" s="70"/>
      <c r="BT190" s="77"/>
      <c r="BU190" s="70"/>
      <c r="BV190" s="70"/>
      <c r="BW190" s="70"/>
      <c r="BX190" s="70"/>
      <c r="BY190" s="77"/>
      <c r="BZ190" s="70"/>
      <c r="CA190" s="70"/>
      <c r="CB190" s="70"/>
      <c r="CC190" s="70"/>
      <c r="CD190" s="77"/>
      <c r="CE190" s="70"/>
      <c r="CF190" s="70"/>
      <c r="CG190" s="70"/>
      <c r="CH190" s="70"/>
      <c r="CI190" s="181">
        <f t="shared" si="523"/>
        <v>0</v>
      </c>
      <c r="CJ190" s="180">
        <f t="shared" si="524"/>
        <v>0</v>
      </c>
      <c r="CK190" s="180">
        <f t="shared" si="525"/>
        <v>0</v>
      </c>
      <c r="CL190" s="180">
        <f t="shared" si="526"/>
        <v>0</v>
      </c>
      <c r="CM190" s="180">
        <f t="shared" si="527"/>
        <v>0</v>
      </c>
      <c r="CN190" s="181">
        <f t="shared" si="512"/>
        <v>800</v>
      </c>
      <c r="CO190" s="180">
        <f t="shared" si="513"/>
        <v>0</v>
      </c>
      <c r="CP190" s="180">
        <f t="shared" si="514"/>
        <v>0</v>
      </c>
      <c r="CQ190" s="180">
        <f t="shared" si="515"/>
        <v>0</v>
      </c>
      <c r="CR190" s="180">
        <f t="shared" si="516"/>
        <v>0</v>
      </c>
      <c r="CS190" s="273">
        <f t="shared" si="517"/>
        <v>800</v>
      </c>
      <c r="CT190" s="14"/>
    </row>
    <row r="191" spans="1:98" s="4" customFormat="1" ht="72" x14ac:dyDescent="0.3">
      <c r="A191" s="796" t="s">
        <v>374</v>
      </c>
      <c r="B191" s="804" t="s">
        <v>385</v>
      </c>
      <c r="C191" s="355" t="s">
        <v>386</v>
      </c>
      <c r="D191" s="357" t="s">
        <v>364</v>
      </c>
      <c r="E191" s="357" t="s">
        <v>206</v>
      </c>
      <c r="F191" s="334" t="s">
        <v>387</v>
      </c>
      <c r="G191" s="357" t="s">
        <v>62</v>
      </c>
      <c r="H191" s="533"/>
      <c r="I191" s="357"/>
      <c r="J191" s="637"/>
      <c r="K191" s="357"/>
      <c r="L191" s="637"/>
      <c r="M191" s="643"/>
      <c r="N191" s="592"/>
      <c r="O191" s="615"/>
      <c r="P191" s="556"/>
      <c r="Q191" s="357"/>
      <c r="R191" s="357"/>
      <c r="S191" s="357"/>
      <c r="T191" s="357"/>
      <c r="U191" s="357">
        <v>10</v>
      </c>
      <c r="V191" s="357">
        <v>50</v>
      </c>
      <c r="W191" s="357">
        <v>100</v>
      </c>
      <c r="X191" s="353"/>
      <c r="Y191" s="353"/>
      <c r="Z191" s="353"/>
      <c r="AA191" s="70"/>
      <c r="AB191" s="70"/>
      <c r="AC191" s="70"/>
      <c r="AD191" s="70"/>
      <c r="AE191" s="70"/>
      <c r="AF191" s="342"/>
      <c r="AG191" s="341"/>
      <c r="AH191" s="341"/>
      <c r="AI191" s="341"/>
      <c r="AJ191" s="70"/>
      <c r="AK191" s="342"/>
      <c r="AL191" s="341"/>
      <c r="AM191" s="341"/>
      <c r="AN191" s="70"/>
      <c r="AO191" s="70"/>
      <c r="AP191" s="342"/>
      <c r="AQ191" s="341"/>
      <c r="AR191" s="341"/>
      <c r="AS191" s="70"/>
      <c r="AT191" s="70"/>
      <c r="AU191" s="77"/>
      <c r="AV191" s="70"/>
      <c r="AW191" s="70"/>
      <c r="AX191" s="70"/>
      <c r="AY191" s="70"/>
      <c r="AZ191" s="77"/>
      <c r="BA191" s="70"/>
      <c r="BB191" s="70"/>
      <c r="BC191" s="70"/>
      <c r="BD191" s="70"/>
      <c r="BE191" s="342">
        <v>250</v>
      </c>
      <c r="BF191" s="341"/>
      <c r="BG191" s="70"/>
      <c r="BH191" s="70"/>
      <c r="BI191" s="70"/>
      <c r="BJ191" s="342">
        <v>800</v>
      </c>
      <c r="BK191" s="341"/>
      <c r="BL191" s="70"/>
      <c r="BM191" s="70"/>
      <c r="BN191" s="70"/>
      <c r="BO191" s="342">
        <v>850</v>
      </c>
      <c r="BP191" s="341"/>
      <c r="BQ191" s="70"/>
      <c r="BR191" s="70"/>
      <c r="BS191" s="70"/>
      <c r="BT191" s="77"/>
      <c r="BU191" s="70"/>
      <c r="BV191" s="70"/>
      <c r="BW191" s="70"/>
      <c r="BX191" s="70"/>
      <c r="BY191" s="77"/>
      <c r="BZ191" s="70"/>
      <c r="CA191" s="70"/>
      <c r="CB191" s="70"/>
      <c r="CC191" s="70"/>
      <c r="CD191" s="77"/>
      <c r="CE191" s="70"/>
      <c r="CF191" s="70"/>
      <c r="CG191" s="70"/>
      <c r="CH191" s="70"/>
      <c r="CI191" s="352">
        <f t="shared" si="523"/>
        <v>0</v>
      </c>
      <c r="CJ191" s="351">
        <f t="shared" si="524"/>
        <v>0</v>
      </c>
      <c r="CK191" s="351">
        <f t="shared" si="525"/>
        <v>0</v>
      </c>
      <c r="CL191" s="351">
        <f t="shared" si="526"/>
        <v>0</v>
      </c>
      <c r="CM191" s="351">
        <f t="shared" si="527"/>
        <v>0</v>
      </c>
      <c r="CN191" s="352">
        <f t="shared" si="512"/>
        <v>1900</v>
      </c>
      <c r="CO191" s="351">
        <f t="shared" si="513"/>
        <v>0</v>
      </c>
      <c r="CP191" s="351">
        <f t="shared" si="514"/>
        <v>0</v>
      </c>
      <c r="CQ191" s="351">
        <f t="shared" si="515"/>
        <v>0</v>
      </c>
      <c r="CR191" s="351">
        <f t="shared" si="516"/>
        <v>0</v>
      </c>
      <c r="CS191" s="352">
        <f t="shared" si="517"/>
        <v>1900</v>
      </c>
      <c r="CT191" s="14"/>
    </row>
    <row r="192" spans="1:98" s="4" customFormat="1" ht="96" x14ac:dyDescent="0.3">
      <c r="A192" s="797"/>
      <c r="B192" s="805"/>
      <c r="C192" s="355" t="s">
        <v>388</v>
      </c>
      <c r="D192" s="357" t="s">
        <v>389</v>
      </c>
      <c r="E192" s="357" t="s">
        <v>390</v>
      </c>
      <c r="F192" s="334" t="s">
        <v>387</v>
      </c>
      <c r="G192" s="357" t="s">
        <v>62</v>
      </c>
      <c r="H192" s="533"/>
      <c r="I192" s="357"/>
      <c r="J192" s="637"/>
      <c r="K192" s="357"/>
      <c r="L192" s="637"/>
      <c r="M192" s="643"/>
      <c r="N192" s="592"/>
      <c r="O192" s="615"/>
      <c r="P192" s="556"/>
      <c r="Q192" s="357"/>
      <c r="R192" s="357"/>
      <c r="S192" s="357"/>
      <c r="T192" s="357"/>
      <c r="U192" s="357">
        <v>10</v>
      </c>
      <c r="V192" s="357">
        <v>50</v>
      </c>
      <c r="W192" s="357"/>
      <c r="X192" s="353"/>
      <c r="Y192" s="353"/>
      <c r="Z192" s="353"/>
      <c r="AA192" s="70"/>
      <c r="AB192" s="70"/>
      <c r="AC192" s="70"/>
      <c r="AD192" s="70"/>
      <c r="AE192" s="70"/>
      <c r="AF192" s="342"/>
      <c r="AG192" s="341"/>
      <c r="AH192" s="341"/>
      <c r="AI192" s="341"/>
      <c r="AJ192" s="70"/>
      <c r="AK192" s="342"/>
      <c r="AL192" s="341"/>
      <c r="AM192" s="341"/>
      <c r="AN192" s="70"/>
      <c r="AO192" s="70"/>
      <c r="AP192" s="342"/>
      <c r="AQ192" s="341"/>
      <c r="AR192" s="341"/>
      <c r="AS192" s="70"/>
      <c r="AT192" s="70"/>
      <c r="AU192" s="77"/>
      <c r="AV192" s="70"/>
      <c r="AW192" s="70"/>
      <c r="AX192" s="70"/>
      <c r="AY192" s="70"/>
      <c r="AZ192" s="77"/>
      <c r="BA192" s="70"/>
      <c r="BB192" s="70"/>
      <c r="BC192" s="70"/>
      <c r="BD192" s="70"/>
      <c r="BE192" s="342">
        <v>125</v>
      </c>
      <c r="BF192" s="341"/>
      <c r="BG192" s="70"/>
      <c r="BH192" s="70"/>
      <c r="BI192" s="70"/>
      <c r="BJ192" s="342">
        <v>1850</v>
      </c>
      <c r="BK192" s="341"/>
      <c r="BL192" s="70"/>
      <c r="BM192" s="70"/>
      <c r="BN192" s="70"/>
      <c r="BO192" s="77"/>
      <c r="BP192" s="70"/>
      <c r="BQ192" s="70"/>
      <c r="BR192" s="70"/>
      <c r="BS192" s="70"/>
      <c r="BT192" s="77"/>
      <c r="BU192" s="70"/>
      <c r="BV192" s="70"/>
      <c r="BW192" s="70"/>
      <c r="BX192" s="70"/>
      <c r="BY192" s="77"/>
      <c r="BZ192" s="70"/>
      <c r="CA192" s="70"/>
      <c r="CB192" s="70"/>
      <c r="CC192" s="70"/>
      <c r="CD192" s="77"/>
      <c r="CE192" s="70"/>
      <c r="CF192" s="70"/>
      <c r="CG192" s="70"/>
      <c r="CH192" s="70"/>
      <c r="CI192" s="352">
        <f t="shared" si="523"/>
        <v>0</v>
      </c>
      <c r="CJ192" s="351">
        <f t="shared" si="524"/>
        <v>0</v>
      </c>
      <c r="CK192" s="351">
        <f t="shared" si="525"/>
        <v>0</v>
      </c>
      <c r="CL192" s="351">
        <f t="shared" si="526"/>
        <v>0</v>
      </c>
      <c r="CM192" s="351">
        <f t="shared" si="527"/>
        <v>0</v>
      </c>
      <c r="CN192" s="352">
        <f t="shared" si="512"/>
        <v>1975</v>
      </c>
      <c r="CO192" s="351">
        <f t="shared" si="513"/>
        <v>0</v>
      </c>
      <c r="CP192" s="351">
        <f t="shared" si="514"/>
        <v>0</v>
      </c>
      <c r="CQ192" s="351">
        <f t="shared" si="515"/>
        <v>0</v>
      </c>
      <c r="CR192" s="351">
        <f t="shared" si="516"/>
        <v>0</v>
      </c>
      <c r="CS192" s="352">
        <f t="shared" si="517"/>
        <v>1975</v>
      </c>
      <c r="CT192" s="14"/>
    </row>
    <row r="193" spans="1:98" x14ac:dyDescent="0.3">
      <c r="A193" s="363" t="s">
        <v>391</v>
      </c>
      <c r="B193" s="824" t="s">
        <v>392</v>
      </c>
      <c r="C193" s="824"/>
      <c r="D193" s="824"/>
      <c r="E193" s="824"/>
      <c r="F193" s="824"/>
      <c r="G193" s="824"/>
      <c r="H193" s="824"/>
      <c r="I193" s="824"/>
      <c r="J193" s="824"/>
      <c r="K193" s="824"/>
      <c r="L193" s="824"/>
      <c r="M193" s="824"/>
      <c r="N193" s="824"/>
      <c r="O193" s="824"/>
      <c r="P193" s="824"/>
      <c r="Q193" s="824"/>
      <c r="R193" s="824"/>
      <c r="S193" s="824"/>
      <c r="T193" s="824"/>
      <c r="U193" s="824"/>
      <c r="V193" s="824"/>
      <c r="W193" s="824"/>
      <c r="X193" s="824"/>
      <c r="Y193" s="824"/>
      <c r="Z193" s="824"/>
      <c r="AA193" s="824"/>
      <c r="AB193" s="824"/>
      <c r="AC193" s="824"/>
      <c r="AD193" s="824"/>
      <c r="AE193" s="824"/>
      <c r="AF193" s="824"/>
      <c r="AG193" s="824"/>
      <c r="AH193" s="824"/>
      <c r="AI193" s="824"/>
      <c r="AJ193" s="824"/>
      <c r="AK193" s="824"/>
      <c r="AL193" s="824"/>
      <c r="AM193" s="824"/>
      <c r="AN193" s="824"/>
      <c r="AO193" s="824"/>
      <c r="AP193" s="824"/>
      <c r="AQ193" s="824"/>
      <c r="AR193" s="824"/>
      <c r="AS193" s="824"/>
      <c r="AT193" s="824"/>
      <c r="AU193" s="824"/>
      <c r="AV193" s="824"/>
      <c r="AW193" s="824"/>
      <c r="AX193" s="824"/>
      <c r="AY193" s="824"/>
      <c r="AZ193" s="824"/>
      <c r="BA193" s="824"/>
      <c r="BB193" s="824"/>
      <c r="BC193" s="824"/>
      <c r="BD193" s="824"/>
      <c r="BE193" s="824"/>
      <c r="BF193" s="824"/>
      <c r="BG193" s="824"/>
      <c r="BH193" s="824"/>
      <c r="BI193" s="824"/>
      <c r="BJ193" s="824"/>
      <c r="BK193" s="824"/>
      <c r="BL193" s="824"/>
      <c r="BM193" s="824"/>
      <c r="BN193" s="824"/>
      <c r="BO193" s="824"/>
      <c r="BP193" s="824"/>
      <c r="BQ193" s="824"/>
      <c r="BR193" s="824"/>
      <c r="BS193" s="824"/>
      <c r="BT193" s="824"/>
      <c r="BU193" s="824"/>
      <c r="BV193" s="824"/>
      <c r="BW193" s="824"/>
      <c r="BX193" s="824"/>
      <c r="BY193" s="824"/>
      <c r="BZ193" s="824"/>
      <c r="CA193" s="824"/>
      <c r="CB193" s="824"/>
      <c r="CC193" s="824"/>
      <c r="CD193" s="824"/>
      <c r="CE193" s="824"/>
      <c r="CF193" s="824"/>
      <c r="CG193" s="824"/>
      <c r="CH193" s="824"/>
      <c r="CI193" s="824"/>
      <c r="CJ193" s="824"/>
      <c r="CK193" s="824"/>
      <c r="CL193" s="824"/>
      <c r="CM193" s="824"/>
      <c r="CN193" s="56">
        <f>CN194+CN198</f>
        <v>82011813.099999994</v>
      </c>
      <c r="CO193" s="56">
        <f t="shared" ref="CO193:CS193" si="528">CO194+CO198</f>
        <v>24121059.400000002</v>
      </c>
      <c r="CP193" s="56">
        <f t="shared" si="528"/>
        <v>12085405.199999999</v>
      </c>
      <c r="CQ193" s="56">
        <f t="shared" si="528"/>
        <v>42610348.5</v>
      </c>
      <c r="CR193" s="56">
        <f t="shared" si="528"/>
        <v>3195000</v>
      </c>
      <c r="CS193" s="273">
        <f t="shared" si="528"/>
        <v>0</v>
      </c>
    </row>
    <row r="194" spans="1:98" x14ac:dyDescent="0.3">
      <c r="A194" s="362" t="s">
        <v>393</v>
      </c>
      <c r="B194" s="883" t="s">
        <v>394</v>
      </c>
      <c r="C194" s="883"/>
      <c r="D194" s="883"/>
      <c r="E194" s="883"/>
      <c r="F194" s="883"/>
      <c r="G194" s="883"/>
      <c r="H194" s="883"/>
      <c r="I194" s="883"/>
      <c r="J194" s="883"/>
      <c r="K194" s="883"/>
      <c r="L194" s="883"/>
      <c r="M194" s="883"/>
      <c r="N194" s="883"/>
      <c r="O194" s="883"/>
      <c r="P194" s="883"/>
      <c r="Q194" s="883"/>
      <c r="R194" s="883"/>
      <c r="S194" s="883"/>
      <c r="T194" s="883"/>
      <c r="U194" s="883"/>
      <c r="V194" s="883"/>
      <c r="W194" s="883"/>
      <c r="X194" s="883"/>
      <c r="Y194" s="883"/>
      <c r="Z194" s="883"/>
      <c r="AA194" s="883"/>
      <c r="AB194" s="883"/>
      <c r="AC194" s="883"/>
      <c r="AD194" s="883"/>
      <c r="AE194" s="883"/>
      <c r="AF194" s="883"/>
      <c r="AG194" s="883"/>
      <c r="AH194" s="883"/>
      <c r="AI194" s="883"/>
      <c r="AJ194" s="883"/>
      <c r="AK194" s="883"/>
      <c r="AL194" s="883"/>
      <c r="AM194" s="883"/>
      <c r="AN194" s="883"/>
      <c r="AO194" s="883"/>
      <c r="AP194" s="883"/>
      <c r="AQ194" s="883"/>
      <c r="AR194" s="883"/>
      <c r="AS194" s="883"/>
      <c r="AT194" s="883"/>
      <c r="AU194" s="883"/>
      <c r="AV194" s="883"/>
      <c r="AW194" s="883"/>
      <c r="AX194" s="883"/>
      <c r="AY194" s="883"/>
      <c r="AZ194" s="883"/>
      <c r="BA194" s="883"/>
      <c r="BB194" s="883"/>
      <c r="BC194" s="883"/>
      <c r="BD194" s="883"/>
      <c r="BE194" s="883"/>
      <c r="BF194" s="883"/>
      <c r="BG194" s="883"/>
      <c r="BH194" s="883"/>
      <c r="BI194" s="883"/>
      <c r="BJ194" s="883"/>
      <c r="BK194" s="883"/>
      <c r="BL194" s="883"/>
      <c r="BM194" s="883"/>
      <c r="BN194" s="883"/>
      <c r="BO194" s="883"/>
      <c r="BP194" s="883"/>
      <c r="BQ194" s="883"/>
      <c r="BR194" s="883"/>
      <c r="BS194" s="883"/>
      <c r="BT194" s="883"/>
      <c r="BU194" s="883"/>
      <c r="BV194" s="883"/>
      <c r="BW194" s="883"/>
      <c r="BX194" s="883"/>
      <c r="BY194" s="883"/>
      <c r="BZ194" s="883"/>
      <c r="CA194" s="883"/>
      <c r="CB194" s="883"/>
      <c r="CC194" s="883"/>
      <c r="CD194" s="883"/>
      <c r="CE194" s="883"/>
      <c r="CF194" s="883"/>
      <c r="CG194" s="883"/>
      <c r="CH194" s="883"/>
      <c r="CI194" s="883"/>
      <c r="CJ194" s="883"/>
      <c r="CK194" s="883"/>
      <c r="CL194" s="883"/>
      <c r="CM194" s="883"/>
      <c r="CN194" s="277">
        <f>CN195+CN196+CN197</f>
        <v>43610348.5</v>
      </c>
      <c r="CO194" s="277">
        <f t="shared" ref="CO194:CS194" si="529">CO195+CO196+CO197</f>
        <v>0</v>
      </c>
      <c r="CP194" s="277">
        <f t="shared" si="529"/>
        <v>0</v>
      </c>
      <c r="CQ194" s="277">
        <f t="shared" si="529"/>
        <v>42610348.5</v>
      </c>
      <c r="CR194" s="277">
        <f t="shared" si="529"/>
        <v>1000000</v>
      </c>
      <c r="CS194" s="273">
        <f t="shared" si="529"/>
        <v>0</v>
      </c>
    </row>
    <row r="195" spans="1:98" s="4" customFormat="1" ht="335.25" customHeight="1" x14ac:dyDescent="0.3">
      <c r="A195" s="507" t="s">
        <v>395</v>
      </c>
      <c r="B195" s="505" t="s">
        <v>396</v>
      </c>
      <c r="C195" s="506" t="s">
        <v>1322</v>
      </c>
      <c r="D195" s="476" t="s">
        <v>1182</v>
      </c>
      <c r="E195" s="477" t="s">
        <v>397</v>
      </c>
      <c r="F195" s="481" t="s">
        <v>398</v>
      </c>
      <c r="G195" s="503" t="s">
        <v>399</v>
      </c>
      <c r="H195" s="528"/>
      <c r="I195" s="477">
        <v>1</v>
      </c>
      <c r="J195" s="630"/>
      <c r="K195" s="477"/>
      <c r="L195" s="630"/>
      <c r="M195" s="702"/>
      <c r="N195" s="599" t="s">
        <v>1551</v>
      </c>
      <c r="O195" s="518" t="s">
        <v>1551</v>
      </c>
      <c r="P195" s="518"/>
      <c r="Q195" s="477"/>
      <c r="R195" s="477"/>
      <c r="S195" s="477"/>
      <c r="T195" s="477"/>
      <c r="U195" s="477"/>
      <c r="V195" s="477"/>
      <c r="W195" s="477"/>
      <c r="X195" s="477"/>
      <c r="Y195" s="477"/>
      <c r="Z195" s="477"/>
      <c r="AA195" s="494">
        <f>SUM(AB195:AE195)</f>
        <v>1226928.5</v>
      </c>
      <c r="AB195" s="485"/>
      <c r="AC195" s="485"/>
      <c r="AD195" s="208">
        <v>1226928.5</v>
      </c>
      <c r="AE195" s="485"/>
      <c r="AF195" s="494"/>
      <c r="AG195" s="485"/>
      <c r="AH195" s="485"/>
      <c r="AI195" s="485"/>
      <c r="AJ195" s="485"/>
      <c r="AK195" s="494"/>
      <c r="AL195" s="485"/>
      <c r="AM195" s="485"/>
      <c r="AN195" s="485"/>
      <c r="AO195" s="485"/>
      <c r="AP195" s="494"/>
      <c r="AQ195" s="485"/>
      <c r="AR195" s="485"/>
      <c r="AS195" s="485"/>
      <c r="AT195" s="485"/>
      <c r="AU195" s="494"/>
      <c r="AV195" s="485"/>
      <c r="AW195" s="485"/>
      <c r="AX195" s="485"/>
      <c r="AY195" s="485"/>
      <c r="AZ195" s="494"/>
      <c r="BA195" s="485"/>
      <c r="BB195" s="485"/>
      <c r="BC195" s="485"/>
      <c r="BD195" s="485"/>
      <c r="BE195" s="494"/>
      <c r="BF195" s="485"/>
      <c r="BG195" s="485"/>
      <c r="BH195" s="485"/>
      <c r="BI195" s="485"/>
      <c r="BJ195" s="494"/>
      <c r="BK195" s="485"/>
      <c r="BL195" s="485"/>
      <c r="BM195" s="485"/>
      <c r="BN195" s="485"/>
      <c r="BO195" s="494"/>
      <c r="BP195" s="485"/>
      <c r="BQ195" s="485"/>
      <c r="BR195" s="485"/>
      <c r="BS195" s="485"/>
      <c r="BT195" s="494"/>
      <c r="BU195" s="485"/>
      <c r="BV195" s="485"/>
      <c r="BW195" s="485"/>
      <c r="BX195" s="485"/>
      <c r="BY195" s="494"/>
      <c r="BZ195" s="485"/>
      <c r="CA195" s="485"/>
      <c r="CB195" s="485"/>
      <c r="CC195" s="485"/>
      <c r="CD195" s="494"/>
      <c r="CE195" s="485"/>
      <c r="CF195" s="485"/>
      <c r="CG195" s="485"/>
      <c r="CH195" s="485"/>
      <c r="CI195" s="501">
        <f>AA195+AF195+AK195</f>
        <v>1226928.5</v>
      </c>
      <c r="CJ195" s="492">
        <f t="shared" ref="CJ195" si="530">AB195+AG195+AL195</f>
        <v>0</v>
      </c>
      <c r="CK195" s="492">
        <f t="shared" ref="CK195" si="531">AC195+AH195+AM195</f>
        <v>0</v>
      </c>
      <c r="CL195" s="492">
        <f t="shared" ref="CL195" si="532">AD195+AI195+AN195</f>
        <v>1226928.5</v>
      </c>
      <c r="CM195" s="492">
        <f t="shared" ref="CM195" si="533">AE195+AJ195+AO195</f>
        <v>0</v>
      </c>
      <c r="CN195" s="501">
        <f t="shared" ref="CN195:CR197" si="534">AA195+AF195+AK195+AP195+AU195+AZ195+BE195+BJ195+BO195+BT195+BY195+CD195</f>
        <v>1226928.5</v>
      </c>
      <c r="CO195" s="492">
        <f t="shared" si="534"/>
        <v>0</v>
      </c>
      <c r="CP195" s="492">
        <f t="shared" si="534"/>
        <v>0</v>
      </c>
      <c r="CQ195" s="492">
        <f t="shared" si="534"/>
        <v>1226928.5</v>
      </c>
      <c r="CR195" s="492">
        <f t="shared" si="534"/>
        <v>0</v>
      </c>
      <c r="CS195" s="501">
        <f>CN195-CO195-CP195-CQ195-CR195</f>
        <v>0</v>
      </c>
      <c r="CT195" s="14"/>
    </row>
    <row r="196" spans="1:98" s="4" customFormat="1" ht="409.5" customHeight="1" x14ac:dyDescent="0.3">
      <c r="A196" s="507" t="s">
        <v>400</v>
      </c>
      <c r="B196" s="505" t="s">
        <v>401</v>
      </c>
      <c r="C196" s="506" t="s">
        <v>1323</v>
      </c>
      <c r="D196" s="476" t="s">
        <v>1182</v>
      </c>
      <c r="E196" s="477">
        <v>2020</v>
      </c>
      <c r="F196" s="481" t="s">
        <v>402</v>
      </c>
      <c r="G196" s="503" t="s">
        <v>399</v>
      </c>
      <c r="H196" s="528"/>
      <c r="I196" s="477"/>
      <c r="J196" s="630">
        <v>1</v>
      </c>
      <c r="K196" s="477">
        <v>1</v>
      </c>
      <c r="L196" s="630"/>
      <c r="M196" s="702"/>
      <c r="N196" s="599"/>
      <c r="O196" s="518" t="s">
        <v>1711</v>
      </c>
      <c r="P196" s="518"/>
      <c r="Q196" s="477"/>
      <c r="R196" s="477"/>
      <c r="S196" s="477"/>
      <c r="T196" s="477"/>
      <c r="U196" s="477"/>
      <c r="V196" s="477"/>
      <c r="W196" s="477"/>
      <c r="X196" s="477"/>
      <c r="Y196" s="477"/>
      <c r="Z196" s="477"/>
      <c r="AA196" s="494"/>
      <c r="AB196" s="485"/>
      <c r="AC196" s="485"/>
      <c r="AD196" s="485"/>
      <c r="AE196" s="485"/>
      <c r="AF196" s="494">
        <f>SUM(AG196:AJ196)</f>
        <v>2383420</v>
      </c>
      <c r="AG196" s="485"/>
      <c r="AH196" s="485"/>
      <c r="AI196" s="485">
        <v>1383420</v>
      </c>
      <c r="AJ196" s="485">
        <v>1000000</v>
      </c>
      <c r="AK196" s="494"/>
      <c r="AL196" s="485"/>
      <c r="AM196" s="485"/>
      <c r="AN196" s="485"/>
      <c r="AO196" s="485"/>
      <c r="AP196" s="494"/>
      <c r="AQ196" s="485"/>
      <c r="AR196" s="485"/>
      <c r="AS196" s="485"/>
      <c r="AT196" s="485"/>
      <c r="AU196" s="494"/>
      <c r="AV196" s="485"/>
      <c r="AW196" s="485"/>
      <c r="AX196" s="485"/>
      <c r="AY196" s="485"/>
      <c r="AZ196" s="494"/>
      <c r="BA196" s="485"/>
      <c r="BB196" s="485"/>
      <c r="BC196" s="485"/>
      <c r="BD196" s="485"/>
      <c r="BE196" s="494"/>
      <c r="BF196" s="485"/>
      <c r="BG196" s="485"/>
      <c r="BH196" s="485"/>
      <c r="BI196" s="485"/>
      <c r="BJ196" s="494"/>
      <c r="BK196" s="485"/>
      <c r="BL196" s="485"/>
      <c r="BM196" s="485"/>
      <c r="BN196" s="485"/>
      <c r="BO196" s="494"/>
      <c r="BP196" s="485"/>
      <c r="BQ196" s="485"/>
      <c r="BR196" s="485"/>
      <c r="BS196" s="485"/>
      <c r="BT196" s="494"/>
      <c r="BU196" s="485"/>
      <c r="BV196" s="485"/>
      <c r="BW196" s="485"/>
      <c r="BX196" s="485"/>
      <c r="BY196" s="494"/>
      <c r="BZ196" s="485"/>
      <c r="CA196" s="485"/>
      <c r="CB196" s="485"/>
      <c r="CC196" s="485"/>
      <c r="CD196" s="494"/>
      <c r="CE196" s="485"/>
      <c r="CF196" s="485"/>
      <c r="CG196" s="485"/>
      <c r="CH196" s="485"/>
      <c r="CI196" s="501">
        <f t="shared" ref="CI196" si="535">AA196+AF196+AK196</f>
        <v>2383420</v>
      </c>
      <c r="CJ196" s="492">
        <f t="shared" ref="CJ196" si="536">AB196+AG196+AL196</f>
        <v>0</v>
      </c>
      <c r="CK196" s="492">
        <f t="shared" ref="CK196" si="537">AC196+AH196+AM196</f>
        <v>0</v>
      </c>
      <c r="CL196" s="492">
        <f t="shared" ref="CL196" si="538">AD196+AI196+AN196</f>
        <v>1383420</v>
      </c>
      <c r="CM196" s="492">
        <f t="shared" ref="CM196" si="539">AE196+AJ196+AO196</f>
        <v>1000000</v>
      </c>
      <c r="CN196" s="501">
        <f t="shared" si="534"/>
        <v>2383420</v>
      </c>
      <c r="CO196" s="492">
        <f t="shared" si="534"/>
        <v>0</v>
      </c>
      <c r="CP196" s="492">
        <f t="shared" si="534"/>
        <v>0</v>
      </c>
      <c r="CQ196" s="492">
        <f t="shared" si="534"/>
        <v>1383420</v>
      </c>
      <c r="CR196" s="492">
        <f t="shared" si="534"/>
        <v>1000000</v>
      </c>
      <c r="CS196" s="501">
        <f t="shared" ref="CS196:CS197" si="540">CN196-CO196-CP196-CQ196-CR196</f>
        <v>0</v>
      </c>
      <c r="CT196" s="14"/>
    </row>
    <row r="197" spans="1:98" s="4" customFormat="1" ht="240" x14ac:dyDescent="0.3">
      <c r="A197" s="358" t="s">
        <v>403</v>
      </c>
      <c r="B197" s="355" t="s">
        <v>404</v>
      </c>
      <c r="C197" s="355" t="s">
        <v>1324</v>
      </c>
      <c r="D197" s="357" t="s">
        <v>1181</v>
      </c>
      <c r="E197" s="350">
        <v>2030</v>
      </c>
      <c r="F197" s="334" t="s">
        <v>405</v>
      </c>
      <c r="G197" s="357" t="s">
        <v>399</v>
      </c>
      <c r="H197" s="528"/>
      <c r="I197" s="350"/>
      <c r="J197" s="630"/>
      <c r="K197" s="350"/>
      <c r="L197" s="630"/>
      <c r="M197" s="702"/>
      <c r="N197" s="599"/>
      <c r="O197" s="518"/>
      <c r="P197" s="518"/>
      <c r="Q197" s="350"/>
      <c r="R197" s="350"/>
      <c r="S197" s="350"/>
      <c r="T197" s="350"/>
      <c r="U197" s="350"/>
      <c r="V197" s="350"/>
      <c r="W197" s="350"/>
      <c r="X197" s="350"/>
      <c r="Y197" s="350"/>
      <c r="Z197" s="350">
        <v>1</v>
      </c>
      <c r="AA197" s="342"/>
      <c r="AB197" s="344"/>
      <c r="AC197" s="344"/>
      <c r="AD197" s="344"/>
      <c r="AE197" s="344"/>
      <c r="AF197" s="342"/>
      <c r="AG197" s="344"/>
      <c r="AH197" s="344"/>
      <c r="AI197" s="344"/>
      <c r="AJ197" s="344"/>
      <c r="AK197" s="342"/>
      <c r="AL197" s="344"/>
      <c r="AM197" s="344"/>
      <c r="AN197" s="344"/>
      <c r="AO197" s="344"/>
      <c r="AP197" s="342"/>
      <c r="AQ197" s="344"/>
      <c r="AR197" s="344"/>
      <c r="AS197" s="344"/>
      <c r="AT197" s="344"/>
      <c r="AU197" s="342"/>
      <c r="AV197" s="344"/>
      <c r="AW197" s="344"/>
      <c r="AX197" s="344"/>
      <c r="AY197" s="344"/>
      <c r="AZ197" s="342"/>
      <c r="BA197" s="344"/>
      <c r="BB197" s="344"/>
      <c r="BC197" s="344"/>
      <c r="BD197" s="344"/>
      <c r="BE197" s="342"/>
      <c r="BF197" s="344"/>
      <c r="BG197" s="344"/>
      <c r="BH197" s="344"/>
      <c r="BI197" s="344"/>
      <c r="BJ197" s="342"/>
      <c r="BK197" s="344"/>
      <c r="BL197" s="344"/>
      <c r="BM197" s="344"/>
      <c r="BN197" s="344"/>
      <c r="BO197" s="342"/>
      <c r="BP197" s="344"/>
      <c r="BQ197" s="344"/>
      <c r="BR197" s="344"/>
      <c r="BS197" s="344"/>
      <c r="BT197" s="342"/>
      <c r="BU197" s="344"/>
      <c r="BV197" s="344"/>
      <c r="BW197" s="344"/>
      <c r="BX197" s="344"/>
      <c r="BY197" s="342"/>
      <c r="BZ197" s="344"/>
      <c r="CA197" s="344"/>
      <c r="CB197" s="344"/>
      <c r="CC197" s="344"/>
      <c r="CD197" s="342">
        <f t="shared" ref="CD197" si="541">SUM(CE197:CH197)</f>
        <v>40000000</v>
      </c>
      <c r="CE197" s="344"/>
      <c r="CF197" s="344"/>
      <c r="CG197" s="344">
        <v>40000000</v>
      </c>
      <c r="CH197" s="344"/>
      <c r="CI197" s="352">
        <f t="shared" ref="CI197" si="542">AA197+AF197+AK197</f>
        <v>0</v>
      </c>
      <c r="CJ197" s="351">
        <f t="shared" ref="CJ197" si="543">AB197+AG197+AL197</f>
        <v>0</v>
      </c>
      <c r="CK197" s="351">
        <f t="shared" ref="CK197" si="544">AC197+AH197+AM197</f>
        <v>0</v>
      </c>
      <c r="CL197" s="351">
        <f t="shared" ref="CL197" si="545">AD197+AI197+AN197</f>
        <v>0</v>
      </c>
      <c r="CM197" s="351">
        <f t="shared" ref="CM197" si="546">AE197+AJ197+AO197</f>
        <v>0</v>
      </c>
      <c r="CN197" s="352">
        <f t="shared" si="534"/>
        <v>40000000</v>
      </c>
      <c r="CO197" s="351">
        <f t="shared" si="534"/>
        <v>0</v>
      </c>
      <c r="CP197" s="351">
        <f t="shared" si="534"/>
        <v>0</v>
      </c>
      <c r="CQ197" s="351">
        <f t="shared" si="534"/>
        <v>40000000</v>
      </c>
      <c r="CR197" s="351">
        <f t="shared" si="534"/>
        <v>0</v>
      </c>
      <c r="CS197" s="352">
        <f t="shared" si="540"/>
        <v>0</v>
      </c>
      <c r="CT197" s="14"/>
    </row>
    <row r="198" spans="1:98" ht="59.25" customHeight="1" x14ac:dyDescent="0.3">
      <c r="A198" s="362" t="s">
        <v>406</v>
      </c>
      <c r="B198" s="789" t="s">
        <v>407</v>
      </c>
      <c r="C198" s="789"/>
      <c r="D198" s="789"/>
      <c r="E198" s="789"/>
      <c r="F198" s="789"/>
      <c r="G198" s="789"/>
      <c r="H198" s="789"/>
      <c r="I198" s="789"/>
      <c r="J198" s="789"/>
      <c r="K198" s="789"/>
      <c r="L198" s="789"/>
      <c r="M198" s="789"/>
      <c r="N198" s="789"/>
      <c r="O198" s="789"/>
      <c r="P198" s="789"/>
      <c r="Q198" s="789"/>
      <c r="R198" s="789"/>
      <c r="S198" s="789"/>
      <c r="T198" s="789"/>
      <c r="U198" s="789"/>
      <c r="V198" s="789"/>
      <c r="W198" s="789"/>
      <c r="X198" s="789"/>
      <c r="Y198" s="789"/>
      <c r="Z198" s="789"/>
      <c r="AA198" s="789"/>
      <c r="AB198" s="789"/>
      <c r="AC198" s="789"/>
      <c r="AD198" s="789"/>
      <c r="AE198" s="789"/>
      <c r="AF198" s="789"/>
      <c r="AG198" s="789"/>
      <c r="AH198" s="789"/>
      <c r="AI198" s="789"/>
      <c r="AJ198" s="789"/>
      <c r="AK198" s="789"/>
      <c r="AL198" s="789"/>
      <c r="AM198" s="789"/>
      <c r="AN198" s="789"/>
      <c r="AO198" s="789"/>
      <c r="AP198" s="789"/>
      <c r="AQ198" s="789"/>
      <c r="AR198" s="789"/>
      <c r="AS198" s="789"/>
      <c r="AT198" s="789"/>
      <c r="AU198" s="789"/>
      <c r="AV198" s="789"/>
      <c r="AW198" s="789"/>
      <c r="AX198" s="789"/>
      <c r="AY198" s="789"/>
      <c r="AZ198" s="789"/>
      <c r="BA198" s="789"/>
      <c r="BB198" s="789"/>
      <c r="BC198" s="789"/>
      <c r="BD198" s="789"/>
      <c r="BE198" s="789"/>
      <c r="BF198" s="789"/>
      <c r="BG198" s="789"/>
      <c r="BH198" s="789"/>
      <c r="BI198" s="789"/>
      <c r="BJ198" s="789"/>
      <c r="BK198" s="789"/>
      <c r="BL198" s="789"/>
      <c r="BM198" s="789"/>
      <c r="BN198" s="789"/>
      <c r="BO198" s="789"/>
      <c r="BP198" s="789"/>
      <c r="BQ198" s="789"/>
      <c r="BR198" s="789"/>
      <c r="BS198" s="789"/>
      <c r="BT198" s="789"/>
      <c r="BU198" s="789"/>
      <c r="BV198" s="789"/>
      <c r="BW198" s="789"/>
      <c r="BX198" s="789"/>
      <c r="BY198" s="789"/>
      <c r="BZ198" s="789"/>
      <c r="CA198" s="789"/>
      <c r="CB198" s="789"/>
      <c r="CC198" s="789"/>
      <c r="CD198" s="789"/>
      <c r="CE198" s="789"/>
      <c r="CF198" s="789"/>
      <c r="CG198" s="789"/>
      <c r="CH198" s="789"/>
      <c r="CI198" s="789"/>
      <c r="CJ198" s="789"/>
      <c r="CK198" s="789"/>
      <c r="CL198" s="789"/>
      <c r="CM198" s="789"/>
      <c r="CN198" s="277">
        <f>CN199+CN203+CN205+CN206+CN207+CN208+CN209+CN210+CN211+CN212+CN213+CN214+CN215+CN216+CN217+CN218+CN219+CN220+CN221+CN222+CN223+CN224</f>
        <v>38401464.600000001</v>
      </c>
      <c r="CO198" s="277">
        <f>CO199+CO203+CO205+CO206+CO207+50000+129706.8+71629.7+309500+CO212+86779.6+281907.3+200000+146000+1080000+245000+625000+590000+183614.6+282368.8+9341089.8+39090.6</f>
        <v>24121059.400000002</v>
      </c>
      <c r="CP198" s="277">
        <f t="shared" ref="CP198:CS198" si="547">CP199+CP203+CP205+CP206+CP207+CP208+CP209+CP210+CP211+CP212+CP213+CP214+CP215+CP216+CP217+CP218+CP219+CP220+CP221+CP222+CP223+CP224</f>
        <v>12085405.199999999</v>
      </c>
      <c r="CQ198" s="277">
        <f t="shared" si="547"/>
        <v>0</v>
      </c>
      <c r="CR198" s="277">
        <f t="shared" si="547"/>
        <v>2195000</v>
      </c>
      <c r="CS198" s="273">
        <f t="shared" si="547"/>
        <v>0</v>
      </c>
    </row>
    <row r="199" spans="1:98" s="4" customFormat="1" ht="72" x14ac:dyDescent="0.3">
      <c r="A199" s="796" t="s">
        <v>408</v>
      </c>
      <c r="B199" s="804" t="s">
        <v>409</v>
      </c>
      <c r="C199" s="859" t="s">
        <v>1325</v>
      </c>
      <c r="D199" s="728" t="s">
        <v>819</v>
      </c>
      <c r="E199" s="714" t="s">
        <v>52</v>
      </c>
      <c r="F199" s="158" t="s">
        <v>820</v>
      </c>
      <c r="G199" s="728" t="s">
        <v>62</v>
      </c>
      <c r="H199" s="527"/>
      <c r="I199" s="114">
        <v>59</v>
      </c>
      <c r="J199" s="392">
        <v>59</v>
      </c>
      <c r="K199" s="392">
        <v>63.35</v>
      </c>
      <c r="L199" s="392">
        <v>59</v>
      </c>
      <c r="M199" s="662">
        <v>49</v>
      </c>
      <c r="N199" s="445"/>
      <c r="O199" s="518"/>
      <c r="P199" s="445"/>
      <c r="Q199" s="114">
        <v>59</v>
      </c>
      <c r="R199" s="114">
        <v>40</v>
      </c>
      <c r="S199" s="114">
        <v>47</v>
      </c>
      <c r="T199" s="114">
        <v>53</v>
      </c>
      <c r="U199" s="114">
        <v>40</v>
      </c>
      <c r="V199" s="114">
        <v>21</v>
      </c>
      <c r="W199" s="114">
        <v>3</v>
      </c>
      <c r="X199" s="114">
        <v>0</v>
      </c>
      <c r="Y199" s="114">
        <v>0</v>
      </c>
      <c r="Z199" s="114">
        <v>0</v>
      </c>
      <c r="AA199" s="767"/>
      <c r="AB199" s="765"/>
      <c r="AC199" s="765"/>
      <c r="AD199" s="765"/>
      <c r="AE199" s="765"/>
      <c r="AF199" s="767"/>
      <c r="AG199" s="765"/>
      <c r="AH199" s="765"/>
      <c r="AI199" s="765"/>
      <c r="AJ199" s="765"/>
      <c r="AK199" s="767"/>
      <c r="AL199" s="765"/>
      <c r="AM199" s="765"/>
      <c r="AN199" s="765"/>
      <c r="AO199" s="765"/>
      <c r="AP199" s="767">
        <f>SUM(AQ199:AT202)</f>
        <v>260100</v>
      </c>
      <c r="AQ199" s="765">
        <v>260100</v>
      </c>
      <c r="AR199" s="765"/>
      <c r="AS199" s="765"/>
      <c r="AT199" s="765"/>
      <c r="AU199" s="767">
        <f>SUM(AV199:AY202)</f>
        <v>260100</v>
      </c>
      <c r="AV199" s="765">
        <v>260100</v>
      </c>
      <c r="AW199" s="765"/>
      <c r="AX199" s="765"/>
      <c r="AY199" s="765"/>
      <c r="AZ199" s="767">
        <f>SUM(BA199:BD202)</f>
        <v>224215</v>
      </c>
      <c r="BA199" s="765">
        <v>224215</v>
      </c>
      <c r="BB199" s="765"/>
      <c r="BC199" s="765"/>
      <c r="BD199" s="765"/>
      <c r="BE199" s="767">
        <f>SUM(BF199:BI202)</f>
        <v>236177</v>
      </c>
      <c r="BF199" s="765">
        <v>236177</v>
      </c>
      <c r="BG199" s="765"/>
      <c r="BH199" s="765"/>
      <c r="BI199" s="765"/>
      <c r="BJ199" s="767">
        <f>SUM(BK199:BN202)</f>
        <v>260100</v>
      </c>
      <c r="BK199" s="765">
        <v>260100</v>
      </c>
      <c r="BL199" s="765"/>
      <c r="BM199" s="765"/>
      <c r="BN199" s="765"/>
      <c r="BO199" s="767">
        <f>SUM(BP199:BS202)</f>
        <v>260100</v>
      </c>
      <c r="BP199" s="765">
        <v>260100</v>
      </c>
      <c r="BQ199" s="765"/>
      <c r="BR199" s="765"/>
      <c r="BS199" s="765"/>
      <c r="BT199" s="767">
        <f>SUM(BU199:BX202)</f>
        <v>34680</v>
      </c>
      <c r="BU199" s="765">
        <v>34680</v>
      </c>
      <c r="BV199" s="765"/>
      <c r="BW199" s="765"/>
      <c r="BX199" s="765"/>
      <c r="BY199" s="767">
        <f>SUM(BZ199:CC202)</f>
        <v>260100</v>
      </c>
      <c r="BZ199" s="765">
        <v>260100</v>
      </c>
      <c r="CA199" s="765"/>
      <c r="CB199" s="765"/>
      <c r="CC199" s="765"/>
      <c r="CD199" s="767">
        <f>SUM(CE199:CH202)</f>
        <v>260100</v>
      </c>
      <c r="CE199" s="765">
        <v>260100</v>
      </c>
      <c r="CF199" s="765"/>
      <c r="CG199" s="765"/>
      <c r="CH199" s="765"/>
      <c r="CI199" s="773">
        <f t="shared" ref="CI199" si="548">AA199+AF199+AK199</f>
        <v>0</v>
      </c>
      <c r="CJ199" s="791">
        <f t="shared" ref="CJ199" si="549">AB199+AG199+AL199</f>
        <v>0</v>
      </c>
      <c r="CK199" s="791">
        <f t="shared" ref="CK199" si="550">AC199+AH199+AM199</f>
        <v>0</v>
      </c>
      <c r="CL199" s="791">
        <f t="shared" ref="CL199" si="551">AD199+AI199+AN199</f>
        <v>0</v>
      </c>
      <c r="CM199" s="791">
        <f t="shared" ref="CM199" si="552">AE199+AJ199+AO199</f>
        <v>0</v>
      </c>
      <c r="CN199" s="773">
        <f>AA199+AF199+AK199+AP199+AU199+AZ199+BE199+BJ199+BO199+BT199+BY199+CD199</f>
        <v>2055672</v>
      </c>
      <c r="CO199" s="791">
        <f t="shared" ref="CO199:CR199" si="553">AB199+AG199+AL199+AQ199+AV199+BA199+BF199+BK199+BP199+BU199+BZ199+CE199</f>
        <v>2055672</v>
      </c>
      <c r="CP199" s="791">
        <f t="shared" si="553"/>
        <v>0</v>
      </c>
      <c r="CQ199" s="791">
        <f t="shared" si="553"/>
        <v>0</v>
      </c>
      <c r="CR199" s="791">
        <f t="shared" si="553"/>
        <v>0</v>
      </c>
      <c r="CS199" s="775">
        <f>CN199-CO199-CP199-CQ199-CR199</f>
        <v>0</v>
      </c>
      <c r="CT199" s="14"/>
    </row>
    <row r="200" spans="1:98" s="4" customFormat="1" ht="72" x14ac:dyDescent="0.3">
      <c r="A200" s="851"/>
      <c r="B200" s="852"/>
      <c r="C200" s="860"/>
      <c r="D200" s="734"/>
      <c r="E200" s="748"/>
      <c r="F200" s="158" t="s">
        <v>821</v>
      </c>
      <c r="G200" s="729"/>
      <c r="H200" s="527"/>
      <c r="I200" s="114">
        <v>0</v>
      </c>
      <c r="J200" s="392">
        <v>0</v>
      </c>
      <c r="K200" s="392">
        <v>5.4</v>
      </c>
      <c r="L200" s="392">
        <v>0</v>
      </c>
      <c r="M200" s="662">
        <v>0</v>
      </c>
      <c r="N200" s="445"/>
      <c r="O200" s="518"/>
      <c r="P200" s="445"/>
      <c r="Q200" s="114">
        <v>0</v>
      </c>
      <c r="R200" s="114">
        <v>60</v>
      </c>
      <c r="S200" s="114">
        <v>100</v>
      </c>
      <c r="T200" s="114">
        <v>40</v>
      </c>
      <c r="U200" s="114">
        <v>0</v>
      </c>
      <c r="V200" s="114">
        <v>0</v>
      </c>
      <c r="W200" s="114">
        <v>0</v>
      </c>
      <c r="X200" s="114">
        <v>0</v>
      </c>
      <c r="Y200" s="114">
        <v>0</v>
      </c>
      <c r="Z200" s="114">
        <v>0</v>
      </c>
      <c r="AA200" s="798"/>
      <c r="AB200" s="769"/>
      <c r="AC200" s="769"/>
      <c r="AD200" s="769"/>
      <c r="AE200" s="769"/>
      <c r="AF200" s="798"/>
      <c r="AG200" s="769"/>
      <c r="AH200" s="769"/>
      <c r="AI200" s="769"/>
      <c r="AJ200" s="769"/>
      <c r="AK200" s="798"/>
      <c r="AL200" s="769"/>
      <c r="AM200" s="769"/>
      <c r="AN200" s="769"/>
      <c r="AO200" s="769"/>
      <c r="AP200" s="798"/>
      <c r="AQ200" s="769"/>
      <c r="AR200" s="769"/>
      <c r="AS200" s="769"/>
      <c r="AT200" s="769"/>
      <c r="AU200" s="798"/>
      <c r="AV200" s="769"/>
      <c r="AW200" s="769"/>
      <c r="AX200" s="769"/>
      <c r="AY200" s="769"/>
      <c r="AZ200" s="798"/>
      <c r="BA200" s="769"/>
      <c r="BB200" s="769"/>
      <c r="BC200" s="769"/>
      <c r="BD200" s="769"/>
      <c r="BE200" s="798"/>
      <c r="BF200" s="769"/>
      <c r="BG200" s="769"/>
      <c r="BH200" s="769"/>
      <c r="BI200" s="769"/>
      <c r="BJ200" s="798"/>
      <c r="BK200" s="769"/>
      <c r="BL200" s="769"/>
      <c r="BM200" s="769"/>
      <c r="BN200" s="769"/>
      <c r="BO200" s="798"/>
      <c r="BP200" s="769"/>
      <c r="BQ200" s="769"/>
      <c r="BR200" s="769"/>
      <c r="BS200" s="769"/>
      <c r="BT200" s="798"/>
      <c r="BU200" s="769"/>
      <c r="BV200" s="769"/>
      <c r="BW200" s="769"/>
      <c r="BX200" s="769"/>
      <c r="BY200" s="798"/>
      <c r="BZ200" s="769"/>
      <c r="CA200" s="769"/>
      <c r="CB200" s="769"/>
      <c r="CC200" s="769"/>
      <c r="CD200" s="798"/>
      <c r="CE200" s="769"/>
      <c r="CF200" s="769"/>
      <c r="CG200" s="769"/>
      <c r="CH200" s="769"/>
      <c r="CI200" s="799"/>
      <c r="CJ200" s="795"/>
      <c r="CK200" s="795"/>
      <c r="CL200" s="795"/>
      <c r="CM200" s="795"/>
      <c r="CN200" s="799"/>
      <c r="CO200" s="795"/>
      <c r="CP200" s="795"/>
      <c r="CQ200" s="795"/>
      <c r="CR200" s="795"/>
      <c r="CS200" s="823"/>
      <c r="CT200" s="14"/>
    </row>
    <row r="201" spans="1:98" s="4" customFormat="1" ht="175.5" customHeight="1" x14ac:dyDescent="0.3">
      <c r="A201" s="851"/>
      <c r="B201" s="852"/>
      <c r="C201" s="859" t="s">
        <v>1326</v>
      </c>
      <c r="D201" s="728" t="s">
        <v>410</v>
      </c>
      <c r="E201" s="714" t="s">
        <v>52</v>
      </c>
      <c r="F201" s="158" t="s">
        <v>822</v>
      </c>
      <c r="G201" s="728" t="s">
        <v>399</v>
      </c>
      <c r="H201" s="527"/>
      <c r="I201" s="187"/>
      <c r="J201" s="637"/>
      <c r="K201" s="521">
        <v>5</v>
      </c>
      <c r="L201" s="637"/>
      <c r="M201" s="643">
        <v>20</v>
      </c>
      <c r="N201" s="611" t="s">
        <v>1552</v>
      </c>
      <c r="O201" s="615" t="s">
        <v>1689</v>
      </c>
      <c r="P201" s="582"/>
      <c r="Q201" s="187"/>
      <c r="R201" s="187">
        <v>30</v>
      </c>
      <c r="S201" s="187">
        <v>30</v>
      </c>
      <c r="T201" s="187">
        <v>15</v>
      </c>
      <c r="U201" s="187">
        <v>20</v>
      </c>
      <c r="V201" s="187">
        <v>30</v>
      </c>
      <c r="W201" s="187">
        <v>30</v>
      </c>
      <c r="X201" s="187">
        <v>4</v>
      </c>
      <c r="Y201" s="187">
        <v>30</v>
      </c>
      <c r="Z201" s="187">
        <v>30</v>
      </c>
      <c r="AA201" s="798"/>
      <c r="AB201" s="769"/>
      <c r="AC201" s="769"/>
      <c r="AD201" s="769"/>
      <c r="AE201" s="769"/>
      <c r="AF201" s="798"/>
      <c r="AG201" s="769"/>
      <c r="AH201" s="769"/>
      <c r="AI201" s="769"/>
      <c r="AJ201" s="769"/>
      <c r="AK201" s="798"/>
      <c r="AL201" s="769"/>
      <c r="AM201" s="769"/>
      <c r="AN201" s="769"/>
      <c r="AO201" s="769"/>
      <c r="AP201" s="798"/>
      <c r="AQ201" s="769"/>
      <c r="AR201" s="769"/>
      <c r="AS201" s="769"/>
      <c r="AT201" s="769"/>
      <c r="AU201" s="798"/>
      <c r="AV201" s="769"/>
      <c r="AW201" s="769"/>
      <c r="AX201" s="769"/>
      <c r="AY201" s="769"/>
      <c r="AZ201" s="798"/>
      <c r="BA201" s="769"/>
      <c r="BB201" s="769"/>
      <c r="BC201" s="769"/>
      <c r="BD201" s="769"/>
      <c r="BE201" s="798"/>
      <c r="BF201" s="769"/>
      <c r="BG201" s="769"/>
      <c r="BH201" s="769"/>
      <c r="BI201" s="769"/>
      <c r="BJ201" s="798"/>
      <c r="BK201" s="769"/>
      <c r="BL201" s="769"/>
      <c r="BM201" s="769"/>
      <c r="BN201" s="769"/>
      <c r="BO201" s="798"/>
      <c r="BP201" s="769"/>
      <c r="BQ201" s="769"/>
      <c r="BR201" s="769"/>
      <c r="BS201" s="769"/>
      <c r="BT201" s="798"/>
      <c r="BU201" s="769"/>
      <c r="BV201" s="769"/>
      <c r="BW201" s="769"/>
      <c r="BX201" s="769"/>
      <c r="BY201" s="798"/>
      <c r="BZ201" s="769"/>
      <c r="CA201" s="769"/>
      <c r="CB201" s="769"/>
      <c r="CC201" s="769"/>
      <c r="CD201" s="798"/>
      <c r="CE201" s="769"/>
      <c r="CF201" s="769"/>
      <c r="CG201" s="769"/>
      <c r="CH201" s="769"/>
      <c r="CI201" s="799"/>
      <c r="CJ201" s="795"/>
      <c r="CK201" s="795"/>
      <c r="CL201" s="795"/>
      <c r="CM201" s="795"/>
      <c r="CN201" s="799"/>
      <c r="CO201" s="795"/>
      <c r="CP201" s="795"/>
      <c r="CQ201" s="795"/>
      <c r="CR201" s="795"/>
      <c r="CS201" s="823"/>
      <c r="CT201" s="14"/>
    </row>
    <row r="202" spans="1:98" s="4" customFormat="1" ht="168" x14ac:dyDescent="0.3">
      <c r="A202" s="797"/>
      <c r="B202" s="805"/>
      <c r="C202" s="861"/>
      <c r="D202" s="729"/>
      <c r="E202" s="715"/>
      <c r="F202" s="158" t="s">
        <v>823</v>
      </c>
      <c r="G202" s="729"/>
      <c r="H202" s="527"/>
      <c r="I202" s="187"/>
      <c r="J202" s="637"/>
      <c r="K202" s="503">
        <v>0</v>
      </c>
      <c r="L202" s="637"/>
      <c r="M202" s="643"/>
      <c r="N202" s="611" t="s">
        <v>1553</v>
      </c>
      <c r="O202" s="518"/>
      <c r="P202" s="582"/>
      <c r="Q202" s="187"/>
      <c r="R202" s="187"/>
      <c r="S202" s="187"/>
      <c r="T202" s="187">
        <v>15</v>
      </c>
      <c r="U202" s="187">
        <v>10</v>
      </c>
      <c r="V202" s="187"/>
      <c r="W202" s="187"/>
      <c r="X202" s="187"/>
      <c r="Y202" s="187"/>
      <c r="Z202" s="187"/>
      <c r="AA202" s="768"/>
      <c r="AB202" s="766"/>
      <c r="AC202" s="766"/>
      <c r="AD202" s="766"/>
      <c r="AE202" s="766"/>
      <c r="AF202" s="768"/>
      <c r="AG202" s="766"/>
      <c r="AH202" s="766"/>
      <c r="AI202" s="766"/>
      <c r="AJ202" s="766"/>
      <c r="AK202" s="768"/>
      <c r="AL202" s="766"/>
      <c r="AM202" s="766"/>
      <c r="AN202" s="766"/>
      <c r="AO202" s="766"/>
      <c r="AP202" s="768"/>
      <c r="AQ202" s="766"/>
      <c r="AR202" s="766"/>
      <c r="AS202" s="766"/>
      <c r="AT202" s="766"/>
      <c r="AU202" s="768"/>
      <c r="AV202" s="766"/>
      <c r="AW202" s="766"/>
      <c r="AX202" s="766"/>
      <c r="AY202" s="766"/>
      <c r="AZ202" s="768"/>
      <c r="BA202" s="766"/>
      <c r="BB202" s="766"/>
      <c r="BC202" s="766"/>
      <c r="BD202" s="766"/>
      <c r="BE202" s="768"/>
      <c r="BF202" s="766"/>
      <c r="BG202" s="766"/>
      <c r="BH202" s="766"/>
      <c r="BI202" s="766"/>
      <c r="BJ202" s="768"/>
      <c r="BK202" s="766"/>
      <c r="BL202" s="766"/>
      <c r="BM202" s="766"/>
      <c r="BN202" s="766"/>
      <c r="BO202" s="768"/>
      <c r="BP202" s="766"/>
      <c r="BQ202" s="766"/>
      <c r="BR202" s="766"/>
      <c r="BS202" s="766"/>
      <c r="BT202" s="768"/>
      <c r="BU202" s="766"/>
      <c r="BV202" s="766"/>
      <c r="BW202" s="766"/>
      <c r="BX202" s="766"/>
      <c r="BY202" s="768"/>
      <c r="BZ202" s="766"/>
      <c r="CA202" s="766"/>
      <c r="CB202" s="766"/>
      <c r="CC202" s="766"/>
      <c r="CD202" s="768"/>
      <c r="CE202" s="766"/>
      <c r="CF202" s="766"/>
      <c r="CG202" s="766"/>
      <c r="CH202" s="766"/>
      <c r="CI202" s="774"/>
      <c r="CJ202" s="792"/>
      <c r="CK202" s="792"/>
      <c r="CL202" s="792"/>
      <c r="CM202" s="792"/>
      <c r="CN202" s="774"/>
      <c r="CO202" s="792"/>
      <c r="CP202" s="792"/>
      <c r="CQ202" s="792"/>
      <c r="CR202" s="792"/>
      <c r="CS202" s="776"/>
      <c r="CT202" s="14"/>
    </row>
    <row r="203" spans="1:98" s="4" customFormat="1" ht="120" x14ac:dyDescent="0.3">
      <c r="A203" s="862" t="s">
        <v>411</v>
      </c>
      <c r="B203" s="804" t="s">
        <v>1035</v>
      </c>
      <c r="C203" s="859" t="s">
        <v>1119</v>
      </c>
      <c r="D203" s="714" t="s">
        <v>602</v>
      </c>
      <c r="E203" s="714" t="s">
        <v>52</v>
      </c>
      <c r="F203" s="158" t="s">
        <v>965</v>
      </c>
      <c r="G203" s="187" t="s">
        <v>966</v>
      </c>
      <c r="H203" s="139">
        <v>18034</v>
      </c>
      <c r="I203" s="139">
        <v>15370.1</v>
      </c>
      <c r="J203" s="139">
        <v>16237.3</v>
      </c>
      <c r="K203" s="139">
        <v>11558.7</v>
      </c>
      <c r="L203" s="139">
        <v>16237.3</v>
      </c>
      <c r="M203" s="642">
        <v>12795.5</v>
      </c>
      <c r="N203" s="598" t="s">
        <v>1527</v>
      </c>
      <c r="O203" s="628" t="s">
        <v>1527</v>
      </c>
      <c r="P203" s="557"/>
      <c r="Q203" s="139">
        <v>16237.3</v>
      </c>
      <c r="R203" s="139">
        <f>Q203*1.002</f>
        <v>16269.774599999999</v>
      </c>
      <c r="S203" s="139">
        <f t="shared" ref="S203:Z203" si="554">R203*1.002</f>
        <v>16302.3141492</v>
      </c>
      <c r="T203" s="139">
        <f t="shared" si="554"/>
        <v>16334.9187774984</v>
      </c>
      <c r="U203" s="139">
        <f t="shared" si="554"/>
        <v>16367.588615053397</v>
      </c>
      <c r="V203" s="139">
        <f t="shared" si="554"/>
        <v>16400.323792283503</v>
      </c>
      <c r="W203" s="139">
        <f t="shared" si="554"/>
        <v>16433.124439868072</v>
      </c>
      <c r="X203" s="139">
        <f t="shared" si="554"/>
        <v>16465.990688747806</v>
      </c>
      <c r="Y203" s="139">
        <f t="shared" si="554"/>
        <v>16498.922670125303</v>
      </c>
      <c r="Z203" s="139">
        <f t="shared" si="554"/>
        <v>16531.920515465554</v>
      </c>
      <c r="AA203" s="767">
        <f>SUM(AB203:AE203)</f>
        <v>809656.20000000007</v>
      </c>
      <c r="AB203" s="765">
        <f>3314.4+806341.8</f>
        <v>809656.20000000007</v>
      </c>
      <c r="AC203" s="767"/>
      <c r="AD203" s="767"/>
      <c r="AE203" s="767"/>
      <c r="AF203" s="767">
        <f>SUM(AG203:AJ203)</f>
        <v>690336</v>
      </c>
      <c r="AG203" s="765">
        <f>3384+686952</f>
        <v>690336</v>
      </c>
      <c r="AH203" s="767"/>
      <c r="AI203" s="767"/>
      <c r="AJ203" s="767"/>
      <c r="AK203" s="767">
        <f>SUM(AL203:AO203)</f>
        <v>690370.8</v>
      </c>
      <c r="AL203" s="765">
        <f>3418.8+686952</f>
        <v>690370.8</v>
      </c>
      <c r="AM203" s="767"/>
      <c r="AN203" s="767"/>
      <c r="AO203" s="767"/>
      <c r="AP203" s="767">
        <f>SUM(AQ203:AT203)</f>
        <v>690370.8</v>
      </c>
      <c r="AQ203" s="765">
        <v>690370.8</v>
      </c>
      <c r="AR203" s="767"/>
      <c r="AS203" s="767"/>
      <c r="AT203" s="767"/>
      <c r="AU203" s="767">
        <f>SUM(AV203:AY203)</f>
        <v>690370.8</v>
      </c>
      <c r="AV203" s="765">
        <v>690370.8</v>
      </c>
      <c r="AW203" s="767"/>
      <c r="AX203" s="767"/>
      <c r="AY203" s="767"/>
      <c r="AZ203" s="767">
        <f>SUM(BA203:BD203)</f>
        <v>690370.8</v>
      </c>
      <c r="BA203" s="765">
        <v>690370.8</v>
      </c>
      <c r="BB203" s="765"/>
      <c r="BC203" s="767"/>
      <c r="BD203" s="767"/>
      <c r="BE203" s="767">
        <f>SUM(BF203:BI203)</f>
        <v>690370.8</v>
      </c>
      <c r="BF203" s="765">
        <v>690370.8</v>
      </c>
      <c r="BG203" s="767"/>
      <c r="BH203" s="767"/>
      <c r="BI203" s="767"/>
      <c r="BJ203" s="767">
        <f>SUM(BK203:BN203)</f>
        <v>690370.8</v>
      </c>
      <c r="BK203" s="765">
        <v>690370.8</v>
      </c>
      <c r="BL203" s="767"/>
      <c r="BM203" s="767"/>
      <c r="BN203" s="767"/>
      <c r="BO203" s="767">
        <f>SUM(BP203:BS203)</f>
        <v>690370.8</v>
      </c>
      <c r="BP203" s="765">
        <v>690370.8</v>
      </c>
      <c r="BQ203" s="767"/>
      <c r="BR203" s="767"/>
      <c r="BS203" s="767"/>
      <c r="BT203" s="767">
        <f>SUM(BU203:BX203)</f>
        <v>690370.8</v>
      </c>
      <c r="BU203" s="765">
        <v>690370.8</v>
      </c>
      <c r="BV203" s="767"/>
      <c r="BW203" s="767"/>
      <c r="BX203" s="767"/>
      <c r="BY203" s="767">
        <f>SUM(BZ203:CC203)</f>
        <v>690370.8</v>
      </c>
      <c r="BZ203" s="765">
        <v>690370.8</v>
      </c>
      <c r="CA203" s="767"/>
      <c r="CB203" s="767"/>
      <c r="CC203" s="767"/>
      <c r="CD203" s="767">
        <f>SUM(CE203:CH203)</f>
        <v>690370.8</v>
      </c>
      <c r="CE203" s="765">
        <v>690370.8</v>
      </c>
      <c r="CF203" s="767"/>
      <c r="CG203" s="767"/>
      <c r="CH203" s="767"/>
      <c r="CI203" s="767">
        <f>AA203+AF203+AK203</f>
        <v>2190363</v>
      </c>
      <c r="CJ203" s="765">
        <f>AB203+AG203+AL203</f>
        <v>2190363</v>
      </c>
      <c r="CK203" s="765">
        <f>AC203+AH203+AM203</f>
        <v>0</v>
      </c>
      <c r="CL203" s="765">
        <f>AD203+AI203+AN203</f>
        <v>0</v>
      </c>
      <c r="CM203" s="765">
        <f>AE203+AJ203+AO203</f>
        <v>0</v>
      </c>
      <c r="CN203" s="767">
        <f>AA203+AF203+AK203+AP203+AU203+AZ203+BE203+BJ203+BO203+BT203+BY203+CD203</f>
        <v>8403700.1999999993</v>
      </c>
      <c r="CO203" s="765">
        <f>AB203+AG203+AL203+AQ203+AV203+BA203+BF203+BK203+BP203+BU203+BZ203+CE203</f>
        <v>8403700.1999999993</v>
      </c>
      <c r="CP203" s="765">
        <f>AC203+AH203+AM203+AR203+AW203+BB203+BG203+BL203+BQ203+BV203+CA203+CF203</f>
        <v>0</v>
      </c>
      <c r="CQ203" s="765">
        <f>AD203+AI203+AN203+AS203+AX203+BC203+BH203+BM203+BR203+BW203+CB203+CG203</f>
        <v>0</v>
      </c>
      <c r="CR203" s="765">
        <f>AE203+AJ203+AO203+AT203+AY203+BD203+BI203+BN203+BS203+BX203+CC203+CH203</f>
        <v>0</v>
      </c>
      <c r="CS203" s="771">
        <f>CN203-CO203-CP203-CQ203-CR203</f>
        <v>0</v>
      </c>
      <c r="CT203" s="14"/>
    </row>
    <row r="204" spans="1:98" s="4" customFormat="1" ht="96" x14ac:dyDescent="0.3">
      <c r="A204" s="863"/>
      <c r="B204" s="805"/>
      <c r="C204" s="861"/>
      <c r="D204" s="715"/>
      <c r="E204" s="715"/>
      <c r="F204" s="192" t="s">
        <v>967</v>
      </c>
      <c r="G204" s="187" t="s">
        <v>74</v>
      </c>
      <c r="H204" s="65">
        <v>2953</v>
      </c>
      <c r="I204" s="65">
        <v>2924</v>
      </c>
      <c r="J204" s="65">
        <v>3017</v>
      </c>
      <c r="K204" s="65">
        <v>2066</v>
      </c>
      <c r="L204" s="65">
        <v>3046</v>
      </c>
      <c r="M204" s="653">
        <v>2669</v>
      </c>
      <c r="N204" s="611" t="s">
        <v>1527</v>
      </c>
      <c r="O204" s="627" t="s">
        <v>1691</v>
      </c>
      <c r="P204" s="557"/>
      <c r="Q204" s="65">
        <v>3046</v>
      </c>
      <c r="R204" s="65">
        <v>3046</v>
      </c>
      <c r="S204" s="65">
        <v>3046</v>
      </c>
      <c r="T204" s="65">
        <v>3046</v>
      </c>
      <c r="U204" s="65">
        <v>3046</v>
      </c>
      <c r="V204" s="65">
        <v>3046</v>
      </c>
      <c r="W204" s="65">
        <v>3046</v>
      </c>
      <c r="X204" s="65">
        <v>3046</v>
      </c>
      <c r="Y204" s="65">
        <v>3046</v>
      </c>
      <c r="Z204" s="65">
        <v>3046</v>
      </c>
      <c r="AA204" s="768"/>
      <c r="AB204" s="766"/>
      <c r="AC204" s="768"/>
      <c r="AD204" s="768"/>
      <c r="AE204" s="768"/>
      <c r="AF204" s="768"/>
      <c r="AG204" s="766"/>
      <c r="AH204" s="768"/>
      <c r="AI204" s="768"/>
      <c r="AJ204" s="768"/>
      <c r="AK204" s="768"/>
      <c r="AL204" s="766"/>
      <c r="AM204" s="768"/>
      <c r="AN204" s="768"/>
      <c r="AO204" s="768"/>
      <c r="AP204" s="768"/>
      <c r="AQ204" s="766"/>
      <c r="AR204" s="768"/>
      <c r="AS204" s="768"/>
      <c r="AT204" s="768"/>
      <c r="AU204" s="768"/>
      <c r="AV204" s="766"/>
      <c r="AW204" s="768"/>
      <c r="AX204" s="768"/>
      <c r="AY204" s="768"/>
      <c r="AZ204" s="768"/>
      <c r="BA204" s="766"/>
      <c r="BB204" s="766"/>
      <c r="BC204" s="768"/>
      <c r="BD204" s="768"/>
      <c r="BE204" s="768"/>
      <c r="BF204" s="766"/>
      <c r="BG204" s="768"/>
      <c r="BH204" s="768"/>
      <c r="BI204" s="768"/>
      <c r="BJ204" s="768"/>
      <c r="BK204" s="766"/>
      <c r="BL204" s="768"/>
      <c r="BM204" s="768"/>
      <c r="BN204" s="768"/>
      <c r="BO204" s="768"/>
      <c r="BP204" s="766"/>
      <c r="BQ204" s="768"/>
      <c r="BR204" s="768"/>
      <c r="BS204" s="768"/>
      <c r="BT204" s="768"/>
      <c r="BU204" s="766"/>
      <c r="BV204" s="768"/>
      <c r="BW204" s="768"/>
      <c r="BX204" s="768"/>
      <c r="BY204" s="768"/>
      <c r="BZ204" s="766"/>
      <c r="CA204" s="768"/>
      <c r="CB204" s="768"/>
      <c r="CC204" s="768"/>
      <c r="CD204" s="768"/>
      <c r="CE204" s="766"/>
      <c r="CF204" s="768"/>
      <c r="CG204" s="768"/>
      <c r="CH204" s="768"/>
      <c r="CI204" s="768"/>
      <c r="CJ204" s="766"/>
      <c r="CK204" s="766"/>
      <c r="CL204" s="766"/>
      <c r="CM204" s="766"/>
      <c r="CN204" s="768"/>
      <c r="CO204" s="766"/>
      <c r="CP204" s="766"/>
      <c r="CQ204" s="766"/>
      <c r="CR204" s="766"/>
      <c r="CS204" s="772"/>
      <c r="CT204" s="14"/>
    </row>
    <row r="205" spans="1:98" s="4" customFormat="1" ht="121.5" customHeight="1" x14ac:dyDescent="0.3">
      <c r="A205" s="796" t="s">
        <v>412</v>
      </c>
      <c r="B205" s="804" t="s">
        <v>841</v>
      </c>
      <c r="C205" s="859" t="s">
        <v>858</v>
      </c>
      <c r="D205" s="728" t="s">
        <v>1128</v>
      </c>
      <c r="E205" s="728">
        <v>2030</v>
      </c>
      <c r="F205" s="334" t="s">
        <v>414</v>
      </c>
      <c r="G205" s="357" t="s">
        <v>399</v>
      </c>
      <c r="H205" s="527"/>
      <c r="I205" s="353"/>
      <c r="J205" s="634"/>
      <c r="K205" s="353"/>
      <c r="L205" s="634"/>
      <c r="M205" s="657"/>
      <c r="N205" s="609"/>
      <c r="O205" s="617" t="s">
        <v>1646</v>
      </c>
      <c r="P205" s="557"/>
      <c r="Q205" s="353"/>
      <c r="R205" s="353"/>
      <c r="S205" s="353"/>
      <c r="T205" s="353"/>
      <c r="U205" s="353"/>
      <c r="V205" s="353"/>
      <c r="W205" s="353"/>
      <c r="X205" s="353"/>
      <c r="Y205" s="353">
        <v>1</v>
      </c>
      <c r="Z205" s="353"/>
      <c r="AA205" s="342"/>
      <c r="AB205" s="341"/>
      <c r="AC205" s="341"/>
      <c r="AD205" s="341"/>
      <c r="AE205" s="341"/>
      <c r="AF205" s="342"/>
      <c r="AG205" s="341"/>
      <c r="AH205" s="341"/>
      <c r="AI205" s="341"/>
      <c r="AJ205" s="341"/>
      <c r="AK205" s="342"/>
      <c r="AL205" s="341"/>
      <c r="AM205" s="341"/>
      <c r="AN205" s="341"/>
      <c r="AO205" s="341"/>
      <c r="AP205" s="342"/>
      <c r="AQ205" s="341"/>
      <c r="AR205" s="341"/>
      <c r="AS205" s="341"/>
      <c r="AT205" s="341"/>
      <c r="AU205" s="342"/>
      <c r="AV205" s="341"/>
      <c r="AW205" s="341"/>
      <c r="AX205" s="341"/>
      <c r="AY205" s="341"/>
      <c r="AZ205" s="342"/>
      <c r="BA205" s="341"/>
      <c r="BB205" s="341"/>
      <c r="BC205" s="341"/>
      <c r="BD205" s="341"/>
      <c r="BE205" s="342"/>
      <c r="BF205" s="341"/>
      <c r="BG205" s="341"/>
      <c r="BH205" s="341"/>
      <c r="BI205" s="341"/>
      <c r="BJ205" s="342"/>
      <c r="BK205" s="341"/>
      <c r="BL205" s="341"/>
      <c r="BM205" s="341"/>
      <c r="BN205" s="341"/>
      <c r="BO205" s="342"/>
      <c r="BP205" s="341"/>
      <c r="BQ205" s="341"/>
      <c r="BR205" s="341"/>
      <c r="BS205" s="341"/>
      <c r="BT205" s="342"/>
      <c r="BU205" s="341"/>
      <c r="BV205" s="341"/>
      <c r="BW205" s="341"/>
      <c r="BX205" s="341"/>
      <c r="BY205" s="342"/>
      <c r="BZ205" s="341"/>
      <c r="CA205" s="341"/>
      <c r="CB205" s="341"/>
      <c r="CC205" s="341"/>
      <c r="CD205" s="342"/>
      <c r="CE205" s="341"/>
      <c r="CF205" s="341"/>
      <c r="CG205" s="341"/>
      <c r="CH205" s="341"/>
      <c r="CI205" s="352">
        <f t="shared" ref="CI205:CI206" si="555">AA205+AF205+AK205</f>
        <v>0</v>
      </c>
      <c r="CJ205" s="351">
        <f t="shared" ref="CJ205:CJ206" si="556">AB205+AG205+AL205</f>
        <v>0</v>
      </c>
      <c r="CK205" s="351">
        <f t="shared" ref="CK205:CK206" si="557">AC205+AH205+AM205</f>
        <v>0</v>
      </c>
      <c r="CL205" s="351">
        <f t="shared" ref="CL205:CL206" si="558">AD205+AI205+AN205</f>
        <v>0</v>
      </c>
      <c r="CM205" s="351">
        <f t="shared" ref="CM205:CM206" si="559">AE205+AJ205+AO205</f>
        <v>0</v>
      </c>
      <c r="CN205" s="352">
        <f t="shared" ref="CN205:CR207" si="560">AA205+AF205+AK205+AP205+AU205+AZ205+BE205+BJ205+BO205+BT205+BY205+CD205</f>
        <v>0</v>
      </c>
      <c r="CO205" s="351">
        <f t="shared" si="560"/>
        <v>0</v>
      </c>
      <c r="CP205" s="351">
        <f t="shared" si="560"/>
        <v>0</v>
      </c>
      <c r="CQ205" s="351">
        <f t="shared" si="560"/>
        <v>0</v>
      </c>
      <c r="CR205" s="351">
        <f t="shared" si="560"/>
        <v>0</v>
      </c>
      <c r="CS205" s="352">
        <f>CN205-CO205-CP205-CQ205-CR205</f>
        <v>0</v>
      </c>
      <c r="CT205" s="14"/>
    </row>
    <row r="206" spans="1:98" s="4" customFormat="1" ht="96" x14ac:dyDescent="0.3">
      <c r="A206" s="851"/>
      <c r="B206" s="852"/>
      <c r="C206" s="861"/>
      <c r="D206" s="729"/>
      <c r="E206" s="729"/>
      <c r="F206" s="334" t="s">
        <v>413</v>
      </c>
      <c r="G206" s="357" t="s">
        <v>415</v>
      </c>
      <c r="H206" s="527"/>
      <c r="I206" s="353"/>
      <c r="J206" s="634"/>
      <c r="K206" s="353"/>
      <c r="L206" s="634"/>
      <c r="M206" s="643"/>
      <c r="N206" s="628"/>
      <c r="O206" s="627"/>
      <c r="P206" s="557"/>
      <c r="Q206" s="353"/>
      <c r="R206" s="353"/>
      <c r="S206" s="353"/>
      <c r="T206" s="353"/>
      <c r="U206" s="353"/>
      <c r="V206" s="353"/>
      <c r="W206" s="353"/>
      <c r="X206" s="353"/>
      <c r="Y206" s="353"/>
      <c r="Z206" s="353">
        <v>94</v>
      </c>
      <c r="AA206" s="342"/>
      <c r="AB206" s="341"/>
      <c r="AC206" s="341"/>
      <c r="AD206" s="341"/>
      <c r="AE206" s="341"/>
      <c r="AF206" s="342"/>
      <c r="AG206" s="341"/>
      <c r="AH206" s="341"/>
      <c r="AI206" s="341"/>
      <c r="AJ206" s="341"/>
      <c r="AK206" s="342"/>
      <c r="AL206" s="341"/>
      <c r="AM206" s="341"/>
      <c r="AN206" s="341"/>
      <c r="AO206" s="341"/>
      <c r="AP206" s="342"/>
      <c r="AQ206" s="341"/>
      <c r="AR206" s="341"/>
      <c r="AS206" s="341"/>
      <c r="AT206" s="341"/>
      <c r="AU206" s="342"/>
      <c r="AV206" s="341"/>
      <c r="AW206" s="341"/>
      <c r="AX206" s="341"/>
      <c r="AY206" s="341"/>
      <c r="AZ206" s="342"/>
      <c r="BA206" s="341"/>
      <c r="BB206" s="341"/>
      <c r="BC206" s="341"/>
      <c r="BD206" s="341"/>
      <c r="BE206" s="342"/>
      <c r="BF206" s="341"/>
      <c r="BG206" s="341"/>
      <c r="BH206" s="341"/>
      <c r="BI206" s="341"/>
      <c r="BJ206" s="342"/>
      <c r="BK206" s="341"/>
      <c r="BL206" s="341"/>
      <c r="BM206" s="341"/>
      <c r="BN206" s="341"/>
      <c r="BO206" s="342"/>
      <c r="BP206" s="341"/>
      <c r="BQ206" s="341"/>
      <c r="BR206" s="341"/>
      <c r="BS206" s="341"/>
      <c r="BT206" s="342"/>
      <c r="BU206" s="341"/>
      <c r="BV206" s="341"/>
      <c r="BW206" s="341"/>
      <c r="BX206" s="341"/>
      <c r="BY206" s="342"/>
      <c r="BZ206" s="341"/>
      <c r="CA206" s="341"/>
      <c r="CB206" s="341"/>
      <c r="CC206" s="341"/>
      <c r="CD206" s="342"/>
      <c r="CE206" s="341"/>
      <c r="CF206" s="341"/>
      <c r="CG206" s="341"/>
      <c r="CH206" s="341"/>
      <c r="CI206" s="352">
        <f t="shared" si="555"/>
        <v>0</v>
      </c>
      <c r="CJ206" s="351">
        <f t="shared" si="556"/>
        <v>0</v>
      </c>
      <c r="CK206" s="351">
        <f t="shared" si="557"/>
        <v>0</v>
      </c>
      <c r="CL206" s="351">
        <f t="shared" si="558"/>
        <v>0</v>
      </c>
      <c r="CM206" s="351">
        <f t="shared" si="559"/>
        <v>0</v>
      </c>
      <c r="CN206" s="352">
        <f t="shared" si="560"/>
        <v>0</v>
      </c>
      <c r="CO206" s="351">
        <f t="shared" si="560"/>
        <v>0</v>
      </c>
      <c r="CP206" s="351">
        <f t="shared" si="560"/>
        <v>0</v>
      </c>
      <c r="CQ206" s="351">
        <f t="shared" si="560"/>
        <v>0</v>
      </c>
      <c r="CR206" s="351">
        <f t="shared" si="560"/>
        <v>0</v>
      </c>
      <c r="CS206" s="352">
        <f>CN206-CO206-CP206-CQ206-CR206</f>
        <v>0</v>
      </c>
      <c r="CT206" s="14"/>
    </row>
    <row r="207" spans="1:98" s="4" customFormat="1" ht="216" x14ac:dyDescent="0.3">
      <c r="A207" s="354" t="s">
        <v>417</v>
      </c>
      <c r="B207" s="348" t="s">
        <v>1209</v>
      </c>
      <c r="C207" s="348" t="s">
        <v>1210</v>
      </c>
      <c r="D207" s="42" t="s">
        <v>1145</v>
      </c>
      <c r="E207" s="353" t="s">
        <v>418</v>
      </c>
      <c r="F207" s="334" t="s">
        <v>887</v>
      </c>
      <c r="G207" s="353" t="s">
        <v>117</v>
      </c>
      <c r="H207" s="534"/>
      <c r="I207" s="44"/>
      <c r="J207" s="44"/>
      <c r="K207" s="44"/>
      <c r="L207" s="44"/>
      <c r="M207" s="655"/>
      <c r="N207" s="604"/>
      <c r="O207" s="447"/>
      <c r="P207" s="447"/>
      <c r="Q207" s="124"/>
      <c r="R207" s="124"/>
      <c r="S207" s="124"/>
      <c r="T207" s="124"/>
      <c r="U207" s="124"/>
      <c r="V207" s="124"/>
      <c r="W207" s="124"/>
      <c r="X207" s="124"/>
      <c r="Y207" s="124"/>
      <c r="Z207" s="124" t="s">
        <v>118</v>
      </c>
      <c r="AA207" s="338"/>
      <c r="AB207" s="336"/>
      <c r="AC207" s="336"/>
      <c r="AD207" s="336"/>
      <c r="AE207" s="336"/>
      <c r="AF207" s="338"/>
      <c r="AG207" s="336"/>
      <c r="AH207" s="336"/>
      <c r="AI207" s="336"/>
      <c r="AJ207" s="336"/>
      <c r="AK207" s="338"/>
      <c r="AL207" s="336"/>
      <c r="AM207" s="336"/>
      <c r="AN207" s="336"/>
      <c r="AO207" s="336"/>
      <c r="AP207" s="338"/>
      <c r="AQ207" s="336"/>
      <c r="AR207" s="336"/>
      <c r="AS207" s="336"/>
      <c r="AT207" s="336"/>
      <c r="AU207" s="338"/>
      <c r="AV207" s="336"/>
      <c r="AW207" s="336"/>
      <c r="AX207" s="336"/>
      <c r="AY207" s="336"/>
      <c r="AZ207" s="338"/>
      <c r="BA207" s="336"/>
      <c r="BB207" s="336"/>
      <c r="BC207" s="336"/>
      <c r="BD207" s="336"/>
      <c r="BE207" s="338"/>
      <c r="BF207" s="336"/>
      <c r="BG207" s="336"/>
      <c r="BH207" s="336"/>
      <c r="BI207" s="336"/>
      <c r="BJ207" s="338"/>
      <c r="BK207" s="336"/>
      <c r="BL207" s="336"/>
      <c r="BM207" s="336"/>
      <c r="BN207" s="336"/>
      <c r="BO207" s="338"/>
      <c r="BP207" s="336"/>
      <c r="BQ207" s="336"/>
      <c r="BR207" s="336"/>
      <c r="BS207" s="336"/>
      <c r="BT207" s="338"/>
      <c r="BU207" s="336"/>
      <c r="BV207" s="336"/>
      <c r="BW207" s="336"/>
      <c r="BX207" s="336"/>
      <c r="BY207" s="338"/>
      <c r="BZ207" s="336"/>
      <c r="CA207" s="336"/>
      <c r="CB207" s="336"/>
      <c r="CC207" s="336"/>
      <c r="CD207" s="338"/>
      <c r="CE207" s="336"/>
      <c r="CF207" s="336"/>
      <c r="CG207" s="336"/>
      <c r="CH207" s="336"/>
      <c r="CI207" s="352">
        <f t="shared" ref="CI207" si="561">AA207+AF207+AK207</f>
        <v>0</v>
      </c>
      <c r="CJ207" s="351">
        <f t="shared" ref="CJ207" si="562">AB207+AG207+AL207</f>
        <v>0</v>
      </c>
      <c r="CK207" s="351">
        <f t="shared" ref="CK207" si="563">AC207+AH207+AM207</f>
        <v>0</v>
      </c>
      <c r="CL207" s="351">
        <f t="shared" ref="CL207" si="564">AD207+AI207+AN207</f>
        <v>0</v>
      </c>
      <c r="CM207" s="351">
        <f t="shared" ref="CM207" si="565">AE207+AJ207+AO207</f>
        <v>0</v>
      </c>
      <c r="CN207" s="352">
        <f t="shared" si="560"/>
        <v>0</v>
      </c>
      <c r="CO207" s="351">
        <f t="shared" si="560"/>
        <v>0</v>
      </c>
      <c r="CP207" s="351">
        <f t="shared" si="560"/>
        <v>0</v>
      </c>
      <c r="CQ207" s="351">
        <f t="shared" si="560"/>
        <v>0</v>
      </c>
      <c r="CR207" s="351">
        <f t="shared" si="560"/>
        <v>0</v>
      </c>
      <c r="CS207" s="352">
        <f t="shared" ref="CS207" si="566">CN207-CO207-CP207-CQ207-CR207</f>
        <v>0</v>
      </c>
      <c r="CT207" s="14"/>
    </row>
    <row r="208" spans="1:98" s="4" customFormat="1" ht="144" x14ac:dyDescent="0.3">
      <c r="A208" s="190" t="s">
        <v>419</v>
      </c>
      <c r="B208" s="182" t="s">
        <v>420</v>
      </c>
      <c r="C208" s="182" t="s">
        <v>421</v>
      </c>
      <c r="D208" s="193" t="s">
        <v>422</v>
      </c>
      <c r="E208" s="193" t="s">
        <v>266</v>
      </c>
      <c r="F208" s="777" t="s">
        <v>888</v>
      </c>
      <c r="G208" s="714" t="s">
        <v>889</v>
      </c>
      <c r="H208" s="738">
        <v>152.4</v>
      </c>
      <c r="I208" s="738">
        <v>158.4</v>
      </c>
      <c r="J208" s="738">
        <v>158.4</v>
      </c>
      <c r="K208" s="738">
        <v>158.4</v>
      </c>
      <c r="L208" s="738">
        <v>158.4</v>
      </c>
      <c r="M208" s="741">
        <v>158</v>
      </c>
      <c r="N208" s="785"/>
      <c r="O208" s="617" t="s">
        <v>1613</v>
      </c>
      <c r="P208" s="537"/>
      <c r="Q208" s="738">
        <v>158.4</v>
      </c>
      <c r="R208" s="738">
        <v>160.9</v>
      </c>
      <c r="S208" s="738">
        <v>160.9</v>
      </c>
      <c r="T208" s="738">
        <v>160.9</v>
      </c>
      <c r="U208" s="738">
        <v>160.9</v>
      </c>
      <c r="V208" s="738">
        <v>165.9</v>
      </c>
      <c r="W208" s="738">
        <v>166.7</v>
      </c>
      <c r="X208" s="738">
        <v>166.7</v>
      </c>
      <c r="Y208" s="738">
        <v>166.7</v>
      </c>
      <c r="Z208" s="738">
        <v>168.7</v>
      </c>
      <c r="AA208" s="154">
        <v>50000</v>
      </c>
      <c r="AB208" s="156" t="s">
        <v>1042</v>
      </c>
      <c r="AC208" s="156"/>
      <c r="AD208" s="156"/>
      <c r="AE208" s="156"/>
      <c r="AF208" s="154"/>
      <c r="AG208" s="156"/>
      <c r="AH208" s="156"/>
      <c r="AI208" s="156"/>
      <c r="AJ208" s="156"/>
      <c r="AK208" s="154"/>
      <c r="AL208" s="156"/>
      <c r="AM208" s="156"/>
      <c r="AN208" s="156"/>
      <c r="AO208" s="156"/>
      <c r="AP208" s="154"/>
      <c r="AQ208" s="156"/>
      <c r="AR208" s="156"/>
      <c r="AS208" s="156"/>
      <c r="AT208" s="156"/>
      <c r="AU208" s="154"/>
      <c r="AV208" s="156"/>
      <c r="AW208" s="156"/>
      <c r="AX208" s="156"/>
      <c r="AY208" s="156"/>
      <c r="AZ208" s="154"/>
      <c r="BA208" s="156"/>
      <c r="BB208" s="156"/>
      <c r="BC208" s="156"/>
      <c r="BD208" s="156"/>
      <c r="BE208" s="154"/>
      <c r="BF208" s="156"/>
      <c r="BG208" s="156"/>
      <c r="BH208" s="156"/>
      <c r="BI208" s="156"/>
      <c r="BJ208" s="154"/>
      <c r="BK208" s="156"/>
      <c r="BL208" s="156"/>
      <c r="BM208" s="156"/>
      <c r="BN208" s="156"/>
      <c r="BO208" s="154"/>
      <c r="BP208" s="156"/>
      <c r="BQ208" s="156"/>
      <c r="BR208" s="156"/>
      <c r="BS208" s="156"/>
      <c r="BT208" s="154"/>
      <c r="BU208" s="156"/>
      <c r="BV208" s="156"/>
      <c r="BW208" s="156"/>
      <c r="BX208" s="156"/>
      <c r="BY208" s="154"/>
      <c r="BZ208" s="156"/>
      <c r="CA208" s="156"/>
      <c r="CB208" s="156"/>
      <c r="CC208" s="156"/>
      <c r="CD208" s="154"/>
      <c r="CE208" s="156"/>
      <c r="CF208" s="156"/>
      <c r="CG208" s="156"/>
      <c r="CH208" s="156"/>
      <c r="CI208" s="181">
        <f t="shared" ref="CI208:CI221" si="567">AA208+AF208+AK208</f>
        <v>50000</v>
      </c>
      <c r="CJ208" s="180" t="s">
        <v>922</v>
      </c>
      <c r="CK208" s="180">
        <f t="shared" ref="CK208:CK221" si="568">AC208+AH208+AM208</f>
        <v>0</v>
      </c>
      <c r="CL208" s="180">
        <f t="shared" ref="CL208:CL221" si="569">AD208+AI208+AN208</f>
        <v>0</v>
      </c>
      <c r="CM208" s="180">
        <f t="shared" ref="CM208:CM221" si="570">AE208+AJ208+AO208</f>
        <v>0</v>
      </c>
      <c r="CN208" s="181">
        <f t="shared" ref="CN208:CN224" si="571">AA208+AF208+AK208+AP208+AU208+AZ208+BE208+BJ208+BO208+BT208+BY208+CD208</f>
        <v>50000</v>
      </c>
      <c r="CO208" s="180" t="s">
        <v>922</v>
      </c>
      <c r="CP208" s="180">
        <f t="shared" ref="CP208:CP224" si="572">AC208+AH208+AM208+AR208+AW208+BB208+BG208+BL208+BQ208+BV208+CA208+CF208</f>
        <v>0</v>
      </c>
      <c r="CQ208" s="180">
        <f t="shared" ref="CQ208:CQ224" si="573">AD208+AI208+AN208+AS208+AX208+BC208+BH208+BM208+BR208+BW208+CB208+CG208</f>
        <v>0</v>
      </c>
      <c r="CR208" s="180">
        <f t="shared" ref="CR208:CR224" si="574">AE208+AJ208+AO208+AT208+AY208+BD208+BI208+BN208+BS208+BX208+CC208+CH208</f>
        <v>0</v>
      </c>
      <c r="CS208" s="273">
        <f>CN208-50000-CP208-CQ208-CR208</f>
        <v>0</v>
      </c>
      <c r="CT208" s="14"/>
    </row>
    <row r="209" spans="1:98" s="4" customFormat="1" ht="168" x14ac:dyDescent="0.3">
      <c r="A209" s="190" t="s">
        <v>423</v>
      </c>
      <c r="B209" s="170" t="s">
        <v>424</v>
      </c>
      <c r="C209" s="168" t="s">
        <v>425</v>
      </c>
      <c r="D209" s="193" t="s">
        <v>422</v>
      </c>
      <c r="E209" s="193" t="s">
        <v>273</v>
      </c>
      <c r="F209" s="784"/>
      <c r="G209" s="748"/>
      <c r="H209" s="739"/>
      <c r="I209" s="739"/>
      <c r="J209" s="739"/>
      <c r="K209" s="739"/>
      <c r="L209" s="739"/>
      <c r="M209" s="742"/>
      <c r="N209" s="786"/>
      <c r="O209" s="617" t="s">
        <v>1614</v>
      </c>
      <c r="P209" s="543"/>
      <c r="Q209" s="739"/>
      <c r="R209" s="739"/>
      <c r="S209" s="739"/>
      <c r="T209" s="739"/>
      <c r="U209" s="739"/>
      <c r="V209" s="739"/>
      <c r="W209" s="739"/>
      <c r="X209" s="739"/>
      <c r="Y209" s="739"/>
      <c r="Z209" s="739"/>
      <c r="AA209" s="154"/>
      <c r="AB209" s="156"/>
      <c r="AC209" s="156"/>
      <c r="AD209" s="156"/>
      <c r="AE209" s="156"/>
      <c r="AF209" s="154">
        <v>129706.8</v>
      </c>
      <c r="AG209" s="156" t="s">
        <v>1044</v>
      </c>
      <c r="AH209" s="156"/>
      <c r="AI209" s="156"/>
      <c r="AJ209" s="156"/>
      <c r="AK209" s="154"/>
      <c r="AL209" s="156"/>
      <c r="AM209" s="156"/>
      <c r="AN209" s="156"/>
      <c r="AO209" s="156"/>
      <c r="AP209" s="154"/>
      <c r="AQ209" s="156"/>
      <c r="AR209" s="156"/>
      <c r="AS209" s="156"/>
      <c r="AT209" s="156"/>
      <c r="AU209" s="154"/>
      <c r="AV209" s="156"/>
      <c r="AW209" s="156"/>
      <c r="AX209" s="156"/>
      <c r="AY209" s="156"/>
      <c r="AZ209" s="154"/>
      <c r="BA209" s="156"/>
      <c r="BB209" s="156"/>
      <c r="BC209" s="156"/>
      <c r="BD209" s="156"/>
      <c r="BE209" s="154"/>
      <c r="BF209" s="156"/>
      <c r="BG209" s="156"/>
      <c r="BH209" s="156"/>
      <c r="BI209" s="156"/>
      <c r="BJ209" s="154"/>
      <c r="BK209" s="156"/>
      <c r="BL209" s="156"/>
      <c r="BM209" s="156"/>
      <c r="BN209" s="156"/>
      <c r="BO209" s="154"/>
      <c r="BP209" s="156"/>
      <c r="BQ209" s="156"/>
      <c r="BR209" s="156"/>
      <c r="BS209" s="156"/>
      <c r="BT209" s="154"/>
      <c r="BU209" s="156"/>
      <c r="BV209" s="156"/>
      <c r="BW209" s="156"/>
      <c r="BX209" s="156"/>
      <c r="BY209" s="154"/>
      <c r="BZ209" s="156"/>
      <c r="CA209" s="156"/>
      <c r="CB209" s="156"/>
      <c r="CC209" s="156"/>
      <c r="CD209" s="154"/>
      <c r="CE209" s="156"/>
      <c r="CF209" s="156"/>
      <c r="CG209" s="156"/>
      <c r="CH209" s="156"/>
      <c r="CI209" s="181">
        <f t="shared" si="567"/>
        <v>129706.8</v>
      </c>
      <c r="CJ209" s="180" t="s">
        <v>921</v>
      </c>
      <c r="CK209" s="180">
        <f t="shared" si="568"/>
        <v>0</v>
      </c>
      <c r="CL209" s="180">
        <f t="shared" si="569"/>
        <v>0</v>
      </c>
      <c r="CM209" s="180">
        <f t="shared" si="570"/>
        <v>0</v>
      </c>
      <c r="CN209" s="181">
        <f t="shared" si="571"/>
        <v>129706.8</v>
      </c>
      <c r="CO209" s="180" t="s">
        <v>921</v>
      </c>
      <c r="CP209" s="180">
        <f t="shared" si="572"/>
        <v>0</v>
      </c>
      <c r="CQ209" s="180">
        <f t="shared" si="573"/>
        <v>0</v>
      </c>
      <c r="CR209" s="180">
        <f t="shared" si="574"/>
        <v>0</v>
      </c>
      <c r="CS209" s="273">
        <f>CN209-129706.8-CP209-CQ209-CR209</f>
        <v>0</v>
      </c>
      <c r="CT209" s="14"/>
    </row>
    <row r="210" spans="1:98" s="4" customFormat="1" ht="144" x14ac:dyDescent="0.3">
      <c r="A210" s="190" t="s">
        <v>426</v>
      </c>
      <c r="B210" s="170" t="s">
        <v>427</v>
      </c>
      <c r="C210" s="168" t="s">
        <v>428</v>
      </c>
      <c r="D210" s="193" t="s">
        <v>422</v>
      </c>
      <c r="E210" s="193" t="s">
        <v>266</v>
      </c>
      <c r="F210" s="784"/>
      <c r="G210" s="748"/>
      <c r="H210" s="739"/>
      <c r="I210" s="739"/>
      <c r="J210" s="739"/>
      <c r="K210" s="739"/>
      <c r="L210" s="739"/>
      <c r="M210" s="742"/>
      <c r="N210" s="786"/>
      <c r="O210" s="617" t="s">
        <v>1615</v>
      </c>
      <c r="P210" s="543"/>
      <c r="Q210" s="739"/>
      <c r="R210" s="739"/>
      <c r="S210" s="739"/>
      <c r="T210" s="739"/>
      <c r="U210" s="739"/>
      <c r="V210" s="739"/>
      <c r="W210" s="739"/>
      <c r="X210" s="739"/>
      <c r="Y210" s="739"/>
      <c r="Z210" s="739"/>
      <c r="AA210" s="154">
        <v>71629.7</v>
      </c>
      <c r="AB210" s="156" t="s">
        <v>1043</v>
      </c>
      <c r="AC210" s="156"/>
      <c r="AD210" s="156"/>
      <c r="AE210" s="156"/>
      <c r="AF210" s="154"/>
      <c r="AG210" s="156"/>
      <c r="AH210" s="156"/>
      <c r="AI210" s="156"/>
      <c r="AJ210" s="156"/>
      <c r="AK210" s="154"/>
      <c r="AL210" s="156"/>
      <c r="AM210" s="156"/>
      <c r="AN210" s="156"/>
      <c r="AO210" s="156"/>
      <c r="AP210" s="154"/>
      <c r="AQ210" s="156"/>
      <c r="AR210" s="156"/>
      <c r="AS210" s="156"/>
      <c r="AT210" s="156"/>
      <c r="AU210" s="154"/>
      <c r="AV210" s="156"/>
      <c r="AW210" s="156"/>
      <c r="AX210" s="156"/>
      <c r="AY210" s="156"/>
      <c r="AZ210" s="154"/>
      <c r="BA210" s="156"/>
      <c r="BB210" s="156"/>
      <c r="BC210" s="156"/>
      <c r="BD210" s="156"/>
      <c r="BE210" s="154"/>
      <c r="BF210" s="156"/>
      <c r="BG210" s="156"/>
      <c r="BH210" s="156"/>
      <c r="BI210" s="156"/>
      <c r="BJ210" s="154"/>
      <c r="BK210" s="156"/>
      <c r="BL210" s="156"/>
      <c r="BM210" s="156"/>
      <c r="BN210" s="156"/>
      <c r="BO210" s="154"/>
      <c r="BP210" s="156"/>
      <c r="BQ210" s="156"/>
      <c r="BR210" s="156"/>
      <c r="BS210" s="156"/>
      <c r="BT210" s="154"/>
      <c r="BU210" s="156"/>
      <c r="BV210" s="156"/>
      <c r="BW210" s="156"/>
      <c r="BX210" s="156"/>
      <c r="BY210" s="154"/>
      <c r="BZ210" s="156"/>
      <c r="CA210" s="156"/>
      <c r="CB210" s="156"/>
      <c r="CC210" s="156"/>
      <c r="CD210" s="154"/>
      <c r="CE210" s="156"/>
      <c r="CF210" s="156"/>
      <c r="CG210" s="156"/>
      <c r="CH210" s="156"/>
      <c r="CI210" s="181">
        <f t="shared" si="567"/>
        <v>71629.7</v>
      </c>
      <c r="CJ210" s="180" t="s">
        <v>920</v>
      </c>
      <c r="CK210" s="180">
        <f t="shared" si="568"/>
        <v>0</v>
      </c>
      <c r="CL210" s="180">
        <f t="shared" si="569"/>
        <v>0</v>
      </c>
      <c r="CM210" s="180">
        <f t="shared" si="570"/>
        <v>0</v>
      </c>
      <c r="CN210" s="181">
        <f t="shared" si="571"/>
        <v>71629.7</v>
      </c>
      <c r="CO210" s="180" t="s">
        <v>920</v>
      </c>
      <c r="CP210" s="180">
        <f t="shared" si="572"/>
        <v>0</v>
      </c>
      <c r="CQ210" s="180">
        <f t="shared" si="573"/>
        <v>0</v>
      </c>
      <c r="CR210" s="180">
        <f t="shared" si="574"/>
        <v>0</v>
      </c>
      <c r="CS210" s="273">
        <f>CN210-71629.7-CP210-CQ210-CR210</f>
        <v>0</v>
      </c>
      <c r="CT210" s="14"/>
    </row>
    <row r="211" spans="1:98" s="4" customFormat="1" ht="144" x14ac:dyDescent="0.3">
      <c r="A211" s="190" t="s">
        <v>429</v>
      </c>
      <c r="B211" s="170" t="s">
        <v>430</v>
      </c>
      <c r="C211" s="168" t="s">
        <v>431</v>
      </c>
      <c r="D211" s="193" t="s">
        <v>422</v>
      </c>
      <c r="E211" s="193" t="s">
        <v>1416</v>
      </c>
      <c r="F211" s="784"/>
      <c r="G211" s="748"/>
      <c r="H211" s="739"/>
      <c r="I211" s="739"/>
      <c r="J211" s="739"/>
      <c r="K211" s="739"/>
      <c r="L211" s="739"/>
      <c r="M211" s="742"/>
      <c r="N211" s="786"/>
      <c r="O211" s="617" t="s">
        <v>1616</v>
      </c>
      <c r="P211" s="543"/>
      <c r="Q211" s="739"/>
      <c r="R211" s="739"/>
      <c r="S211" s="739"/>
      <c r="T211" s="739"/>
      <c r="U211" s="739"/>
      <c r="V211" s="739"/>
      <c r="W211" s="739"/>
      <c r="X211" s="739"/>
      <c r="Y211" s="739"/>
      <c r="Z211" s="739"/>
      <c r="AA211" s="154"/>
      <c r="AB211" s="156"/>
      <c r="AC211" s="156"/>
      <c r="AD211" s="156"/>
      <c r="AE211" s="156"/>
      <c r="AF211" s="154"/>
      <c r="AG211" s="156"/>
      <c r="AH211" s="156"/>
      <c r="AI211" s="156"/>
      <c r="AJ211" s="156"/>
      <c r="AK211" s="154"/>
      <c r="AL211" s="156"/>
      <c r="AM211" s="156"/>
      <c r="AN211" s="156"/>
      <c r="AO211" s="156"/>
      <c r="AP211" s="154">
        <v>309500</v>
      </c>
      <c r="AQ211" s="156" t="s">
        <v>900</v>
      </c>
      <c r="AR211" s="156"/>
      <c r="AS211" s="156"/>
      <c r="AT211" s="156"/>
      <c r="AU211" s="154"/>
      <c r="AV211" s="156"/>
      <c r="AW211" s="156"/>
      <c r="AX211" s="156"/>
      <c r="AY211" s="156"/>
      <c r="AZ211" s="154"/>
      <c r="BA211" s="156"/>
      <c r="BB211" s="156"/>
      <c r="BC211" s="156"/>
      <c r="BD211" s="156"/>
      <c r="BE211" s="154"/>
      <c r="BF211" s="156"/>
      <c r="BG211" s="156"/>
      <c r="BH211" s="156"/>
      <c r="BI211" s="156"/>
      <c r="BJ211" s="154"/>
      <c r="BK211" s="156"/>
      <c r="BL211" s="156"/>
      <c r="BM211" s="156"/>
      <c r="BN211" s="156"/>
      <c r="BO211" s="154"/>
      <c r="BP211" s="156"/>
      <c r="BQ211" s="156"/>
      <c r="BR211" s="156"/>
      <c r="BS211" s="156"/>
      <c r="BT211" s="154"/>
      <c r="BU211" s="156"/>
      <c r="BV211" s="156"/>
      <c r="BW211" s="156"/>
      <c r="BX211" s="156"/>
      <c r="BY211" s="154"/>
      <c r="BZ211" s="156"/>
      <c r="CA211" s="156"/>
      <c r="CB211" s="156"/>
      <c r="CC211" s="156"/>
      <c r="CD211" s="154"/>
      <c r="CE211" s="156"/>
      <c r="CF211" s="156"/>
      <c r="CG211" s="156"/>
      <c r="CH211" s="156"/>
      <c r="CI211" s="181">
        <f t="shared" si="567"/>
        <v>0</v>
      </c>
      <c r="CJ211" s="180" t="s">
        <v>919</v>
      </c>
      <c r="CK211" s="180">
        <f t="shared" si="568"/>
        <v>0</v>
      </c>
      <c r="CL211" s="180">
        <f t="shared" si="569"/>
        <v>0</v>
      </c>
      <c r="CM211" s="180">
        <f t="shared" si="570"/>
        <v>0</v>
      </c>
      <c r="CN211" s="181">
        <f t="shared" si="571"/>
        <v>309500</v>
      </c>
      <c r="CO211" s="180" t="s">
        <v>919</v>
      </c>
      <c r="CP211" s="180">
        <f t="shared" si="572"/>
        <v>0</v>
      </c>
      <c r="CQ211" s="180">
        <f t="shared" si="573"/>
        <v>0</v>
      </c>
      <c r="CR211" s="180">
        <f t="shared" si="574"/>
        <v>0</v>
      </c>
      <c r="CS211" s="273">
        <f>CN211-309500-CP211-CQ211-CR211</f>
        <v>0</v>
      </c>
      <c r="CT211" s="14"/>
    </row>
    <row r="212" spans="1:98" s="4" customFormat="1" ht="192" x14ac:dyDescent="0.3">
      <c r="A212" s="190" t="s">
        <v>432</v>
      </c>
      <c r="B212" s="170" t="s">
        <v>433</v>
      </c>
      <c r="C212" s="168" t="s">
        <v>434</v>
      </c>
      <c r="D212" s="193" t="s">
        <v>422</v>
      </c>
      <c r="E212" s="193" t="s">
        <v>266</v>
      </c>
      <c r="F212" s="784"/>
      <c r="G212" s="748"/>
      <c r="H212" s="739"/>
      <c r="I212" s="739"/>
      <c r="J212" s="739"/>
      <c r="K212" s="739"/>
      <c r="L212" s="739"/>
      <c r="M212" s="742"/>
      <c r="N212" s="786"/>
      <c r="O212" s="699" t="s">
        <v>1615</v>
      </c>
      <c r="P212" s="543"/>
      <c r="Q212" s="739"/>
      <c r="R212" s="739"/>
      <c r="S212" s="739"/>
      <c r="T212" s="739"/>
      <c r="U212" s="739"/>
      <c r="V212" s="739"/>
      <c r="W212" s="739"/>
      <c r="X212" s="739"/>
      <c r="Y212" s="739"/>
      <c r="Z212" s="739"/>
      <c r="AA212" s="154">
        <f>AE212</f>
        <v>46000</v>
      </c>
      <c r="AB212" s="156"/>
      <c r="AC212" s="156"/>
      <c r="AD212" s="156"/>
      <c r="AE212" s="156">
        <v>46000</v>
      </c>
      <c r="AF212" s="154"/>
      <c r="AG212" s="156"/>
      <c r="AH212" s="156"/>
      <c r="AI212" s="156"/>
      <c r="AJ212" s="156"/>
      <c r="AK212" s="154"/>
      <c r="AL212" s="156"/>
      <c r="AM212" s="156"/>
      <c r="AN212" s="156"/>
      <c r="AO212" s="156"/>
      <c r="AP212" s="154"/>
      <c r="AQ212" s="156"/>
      <c r="AR212" s="156"/>
      <c r="AS212" s="156"/>
      <c r="AT212" s="156"/>
      <c r="AU212" s="154"/>
      <c r="AV212" s="156"/>
      <c r="AW212" s="156"/>
      <c r="AX212" s="156"/>
      <c r="AY212" s="156"/>
      <c r="AZ212" s="154"/>
      <c r="BA212" s="156"/>
      <c r="BB212" s="156"/>
      <c r="BC212" s="156"/>
      <c r="BD212" s="156"/>
      <c r="BE212" s="154"/>
      <c r="BF212" s="156"/>
      <c r="BG212" s="156"/>
      <c r="BH212" s="156"/>
      <c r="BI212" s="156"/>
      <c r="BJ212" s="154"/>
      <c r="BK212" s="156"/>
      <c r="BL212" s="156"/>
      <c r="BM212" s="156"/>
      <c r="BN212" s="156"/>
      <c r="BO212" s="154"/>
      <c r="BP212" s="156"/>
      <c r="BQ212" s="156"/>
      <c r="BR212" s="156"/>
      <c r="BS212" s="156"/>
      <c r="BT212" s="154"/>
      <c r="BU212" s="156"/>
      <c r="BV212" s="156"/>
      <c r="BW212" s="156"/>
      <c r="BX212" s="156"/>
      <c r="BY212" s="154"/>
      <c r="BZ212" s="156"/>
      <c r="CA212" s="156"/>
      <c r="CB212" s="156"/>
      <c r="CC212" s="156"/>
      <c r="CD212" s="154"/>
      <c r="CE212" s="156"/>
      <c r="CF212" s="156"/>
      <c r="CG212" s="156"/>
      <c r="CH212" s="156"/>
      <c r="CI212" s="181">
        <f t="shared" si="567"/>
        <v>46000</v>
      </c>
      <c r="CJ212" s="180">
        <f t="shared" ref="CJ212:CJ221" si="575">AB212+AG212+AL212</f>
        <v>0</v>
      </c>
      <c r="CK212" s="180">
        <f t="shared" si="568"/>
        <v>0</v>
      </c>
      <c r="CL212" s="180">
        <f t="shared" si="569"/>
        <v>0</v>
      </c>
      <c r="CM212" s="180">
        <f t="shared" si="570"/>
        <v>46000</v>
      </c>
      <c r="CN212" s="181">
        <f t="shared" si="571"/>
        <v>46000</v>
      </c>
      <c r="CO212" s="180">
        <f>AB212+AG212+AL212+AQ212+AV212+BA212+BF212+BK212+BP212+BU212+BZ212+CE212</f>
        <v>0</v>
      </c>
      <c r="CP212" s="180">
        <f t="shared" si="572"/>
        <v>0</v>
      </c>
      <c r="CQ212" s="180">
        <f t="shared" si="573"/>
        <v>0</v>
      </c>
      <c r="CR212" s="180">
        <f t="shared" si="574"/>
        <v>46000</v>
      </c>
      <c r="CS212" s="273">
        <f>CN212-CO212-CP212-CQ212-CR212</f>
        <v>0</v>
      </c>
      <c r="CT212" s="14"/>
    </row>
    <row r="213" spans="1:98" s="4" customFormat="1" ht="144" x14ac:dyDescent="0.3">
      <c r="A213" s="190" t="s">
        <v>435</v>
      </c>
      <c r="B213" s="170" t="s">
        <v>436</v>
      </c>
      <c r="C213" s="168" t="s">
        <v>437</v>
      </c>
      <c r="D213" s="193" t="s">
        <v>422</v>
      </c>
      <c r="E213" s="193" t="s">
        <v>273</v>
      </c>
      <c r="F213" s="784"/>
      <c r="G213" s="748"/>
      <c r="H213" s="739"/>
      <c r="I213" s="739"/>
      <c r="J213" s="739"/>
      <c r="K213" s="739"/>
      <c r="L213" s="739"/>
      <c r="M213" s="742"/>
      <c r="N213" s="786"/>
      <c r="O213" s="617" t="s">
        <v>1617</v>
      </c>
      <c r="P213" s="543"/>
      <c r="Q213" s="739"/>
      <c r="R213" s="739"/>
      <c r="S213" s="739"/>
      <c r="T213" s="739"/>
      <c r="U213" s="739"/>
      <c r="V213" s="739"/>
      <c r="W213" s="739"/>
      <c r="X213" s="739"/>
      <c r="Y213" s="739"/>
      <c r="Z213" s="739"/>
      <c r="AA213" s="154">
        <v>10000</v>
      </c>
      <c r="AB213" s="156" t="s">
        <v>894</v>
      </c>
      <c r="AC213" s="156"/>
      <c r="AD213" s="156"/>
      <c r="AE213" s="156"/>
      <c r="AF213" s="154">
        <v>76779.600000000006</v>
      </c>
      <c r="AG213" s="156" t="s">
        <v>896</v>
      </c>
      <c r="AH213" s="156"/>
      <c r="AI213" s="156"/>
      <c r="AJ213" s="156"/>
      <c r="AK213" s="154"/>
      <c r="AL213" s="156"/>
      <c r="AM213" s="156"/>
      <c r="AN213" s="156"/>
      <c r="AO213" s="156"/>
      <c r="AP213" s="154"/>
      <c r="AQ213" s="156"/>
      <c r="AR213" s="156"/>
      <c r="AS213" s="156"/>
      <c r="AT213" s="156"/>
      <c r="AU213" s="154"/>
      <c r="AV213" s="156"/>
      <c r="AW213" s="156"/>
      <c r="AX213" s="156"/>
      <c r="AY213" s="156"/>
      <c r="AZ213" s="154"/>
      <c r="BA213" s="156"/>
      <c r="BB213" s="156"/>
      <c r="BC213" s="156"/>
      <c r="BD213" s="156"/>
      <c r="BE213" s="154"/>
      <c r="BF213" s="156"/>
      <c r="BG213" s="156"/>
      <c r="BH213" s="156"/>
      <c r="BI213" s="156"/>
      <c r="BJ213" s="154"/>
      <c r="BK213" s="156"/>
      <c r="BL213" s="156"/>
      <c r="BM213" s="156"/>
      <c r="BN213" s="156"/>
      <c r="BO213" s="154"/>
      <c r="BP213" s="156"/>
      <c r="BQ213" s="156"/>
      <c r="BR213" s="156"/>
      <c r="BS213" s="156"/>
      <c r="BT213" s="154"/>
      <c r="BU213" s="156"/>
      <c r="BV213" s="156"/>
      <c r="BW213" s="156"/>
      <c r="BX213" s="156"/>
      <c r="BY213" s="154"/>
      <c r="BZ213" s="156"/>
      <c r="CA213" s="156"/>
      <c r="CB213" s="156"/>
      <c r="CC213" s="156"/>
      <c r="CD213" s="154"/>
      <c r="CE213" s="156"/>
      <c r="CF213" s="156"/>
      <c r="CG213" s="156"/>
      <c r="CH213" s="156"/>
      <c r="CI213" s="181">
        <f t="shared" si="567"/>
        <v>86779.6</v>
      </c>
      <c r="CJ213" s="180" t="s">
        <v>917</v>
      </c>
      <c r="CK213" s="180">
        <f t="shared" si="568"/>
        <v>0</v>
      </c>
      <c r="CL213" s="180">
        <f t="shared" si="569"/>
        <v>0</v>
      </c>
      <c r="CM213" s="180">
        <f t="shared" si="570"/>
        <v>0</v>
      </c>
      <c r="CN213" s="181">
        <f t="shared" si="571"/>
        <v>86779.6</v>
      </c>
      <c r="CO213" s="180" t="s">
        <v>917</v>
      </c>
      <c r="CP213" s="180">
        <f t="shared" si="572"/>
        <v>0</v>
      </c>
      <c r="CQ213" s="180">
        <f t="shared" si="573"/>
        <v>0</v>
      </c>
      <c r="CR213" s="180">
        <f t="shared" si="574"/>
        <v>0</v>
      </c>
      <c r="CS213" s="273">
        <f>CN213-86779.6-CP213-CQ213-CR213</f>
        <v>0</v>
      </c>
      <c r="CT213" s="14"/>
    </row>
    <row r="214" spans="1:98" s="4" customFormat="1" ht="144" x14ac:dyDescent="0.3">
      <c r="A214" s="190" t="s">
        <v>438</v>
      </c>
      <c r="B214" s="170" t="s">
        <v>871</v>
      </c>
      <c r="C214" s="168" t="s">
        <v>439</v>
      </c>
      <c r="D214" s="193" t="s">
        <v>422</v>
      </c>
      <c r="E214" s="193" t="s">
        <v>273</v>
      </c>
      <c r="F214" s="784"/>
      <c r="G214" s="748"/>
      <c r="H214" s="739"/>
      <c r="I214" s="739"/>
      <c r="J214" s="739"/>
      <c r="K214" s="739"/>
      <c r="L214" s="739"/>
      <c r="M214" s="742"/>
      <c r="N214" s="786"/>
      <c r="O214" s="617" t="s">
        <v>1618</v>
      </c>
      <c r="P214" s="543"/>
      <c r="Q214" s="739"/>
      <c r="R214" s="739"/>
      <c r="S214" s="739"/>
      <c r="T214" s="739"/>
      <c r="U214" s="739"/>
      <c r="V214" s="739"/>
      <c r="W214" s="739"/>
      <c r="X214" s="739"/>
      <c r="Y214" s="739"/>
      <c r="Z214" s="739"/>
      <c r="AA214" s="154">
        <v>116001.3</v>
      </c>
      <c r="AB214" s="156" t="s">
        <v>895</v>
      </c>
      <c r="AC214" s="156"/>
      <c r="AD214" s="156"/>
      <c r="AE214" s="156"/>
      <c r="AF214" s="154">
        <v>165906</v>
      </c>
      <c r="AG214" s="156" t="s">
        <v>897</v>
      </c>
      <c r="AH214" s="156"/>
      <c r="AI214" s="156"/>
      <c r="AJ214" s="156"/>
      <c r="AK214" s="154"/>
      <c r="AL214" s="156"/>
      <c r="AM214" s="156"/>
      <c r="AN214" s="156"/>
      <c r="AO214" s="156"/>
      <c r="AP214" s="154"/>
      <c r="AQ214" s="156"/>
      <c r="AR214" s="156"/>
      <c r="AS214" s="156"/>
      <c r="AT214" s="156"/>
      <c r="AU214" s="154"/>
      <c r="AV214" s="156"/>
      <c r="AW214" s="156"/>
      <c r="AX214" s="156"/>
      <c r="AY214" s="156"/>
      <c r="AZ214" s="154"/>
      <c r="BA214" s="156"/>
      <c r="BB214" s="156"/>
      <c r="BC214" s="156"/>
      <c r="BD214" s="156"/>
      <c r="BE214" s="154"/>
      <c r="BF214" s="156"/>
      <c r="BG214" s="156"/>
      <c r="BH214" s="156"/>
      <c r="BI214" s="156"/>
      <c r="BJ214" s="154"/>
      <c r="BK214" s="156"/>
      <c r="BL214" s="156"/>
      <c r="BM214" s="156"/>
      <c r="BN214" s="156"/>
      <c r="BO214" s="154"/>
      <c r="BP214" s="156"/>
      <c r="BQ214" s="156"/>
      <c r="BR214" s="156"/>
      <c r="BS214" s="156"/>
      <c r="BT214" s="154"/>
      <c r="BU214" s="156"/>
      <c r="BV214" s="156"/>
      <c r="BW214" s="156"/>
      <c r="BX214" s="156"/>
      <c r="BY214" s="154"/>
      <c r="BZ214" s="156"/>
      <c r="CA214" s="156"/>
      <c r="CB214" s="156"/>
      <c r="CC214" s="156"/>
      <c r="CD214" s="154"/>
      <c r="CE214" s="156"/>
      <c r="CF214" s="156"/>
      <c r="CG214" s="156"/>
      <c r="CH214" s="156"/>
      <c r="CI214" s="181">
        <f t="shared" si="567"/>
        <v>281907.3</v>
      </c>
      <c r="CJ214" s="180" t="s">
        <v>918</v>
      </c>
      <c r="CK214" s="180">
        <f t="shared" si="568"/>
        <v>0</v>
      </c>
      <c r="CL214" s="180">
        <f t="shared" si="569"/>
        <v>0</v>
      </c>
      <c r="CM214" s="180">
        <f t="shared" si="570"/>
        <v>0</v>
      </c>
      <c r="CN214" s="181">
        <f t="shared" si="571"/>
        <v>281907.3</v>
      </c>
      <c r="CO214" s="180" t="s">
        <v>918</v>
      </c>
      <c r="CP214" s="180">
        <f t="shared" si="572"/>
        <v>0</v>
      </c>
      <c r="CQ214" s="180">
        <f t="shared" si="573"/>
        <v>0</v>
      </c>
      <c r="CR214" s="180">
        <f t="shared" si="574"/>
        <v>0</v>
      </c>
      <c r="CS214" s="273">
        <f>CN214-281907.3-CP214-CQ214-CR214</f>
        <v>0</v>
      </c>
      <c r="CT214" s="14"/>
    </row>
    <row r="215" spans="1:98" s="4" customFormat="1" ht="144" x14ac:dyDescent="0.3">
      <c r="A215" s="190" t="s">
        <v>440</v>
      </c>
      <c r="B215" s="170" t="s">
        <v>441</v>
      </c>
      <c r="C215" s="168" t="s">
        <v>439</v>
      </c>
      <c r="D215" s="193" t="s">
        <v>422</v>
      </c>
      <c r="E215" s="193" t="s">
        <v>330</v>
      </c>
      <c r="F215" s="784"/>
      <c r="G215" s="748"/>
      <c r="H215" s="739"/>
      <c r="I215" s="739"/>
      <c r="J215" s="739"/>
      <c r="K215" s="739"/>
      <c r="L215" s="739"/>
      <c r="M215" s="742"/>
      <c r="N215" s="786"/>
      <c r="O215" s="617" t="s">
        <v>1619</v>
      </c>
      <c r="P215" s="543"/>
      <c r="Q215" s="739"/>
      <c r="R215" s="739"/>
      <c r="S215" s="739"/>
      <c r="T215" s="739"/>
      <c r="U215" s="739"/>
      <c r="V215" s="739"/>
      <c r="W215" s="739"/>
      <c r="X215" s="739"/>
      <c r="Y215" s="739"/>
      <c r="Z215" s="739"/>
      <c r="AA215" s="154"/>
      <c r="AB215" s="156"/>
      <c r="AC215" s="156"/>
      <c r="AD215" s="156"/>
      <c r="AE215" s="156"/>
      <c r="AF215" s="154">
        <v>50000</v>
      </c>
      <c r="AG215" s="156" t="s">
        <v>898</v>
      </c>
      <c r="AH215" s="156"/>
      <c r="AI215" s="156"/>
      <c r="AJ215" s="156"/>
      <c r="AK215" s="154">
        <v>150000</v>
      </c>
      <c r="AL215" s="156" t="s">
        <v>899</v>
      </c>
      <c r="AM215" s="156"/>
      <c r="AN215" s="156"/>
      <c r="AO215" s="156"/>
      <c r="AP215" s="154"/>
      <c r="AQ215" s="156"/>
      <c r="AR215" s="156"/>
      <c r="AS215" s="156"/>
      <c r="AT215" s="156"/>
      <c r="AU215" s="154"/>
      <c r="AV215" s="156"/>
      <c r="AW215" s="156"/>
      <c r="AX215" s="156"/>
      <c r="AY215" s="156"/>
      <c r="AZ215" s="154"/>
      <c r="BA215" s="156"/>
      <c r="BB215" s="156"/>
      <c r="BC215" s="156"/>
      <c r="BD215" s="156"/>
      <c r="BE215" s="154"/>
      <c r="BF215" s="156"/>
      <c r="BG215" s="156"/>
      <c r="BH215" s="156"/>
      <c r="BI215" s="156"/>
      <c r="BJ215" s="154"/>
      <c r="BK215" s="156"/>
      <c r="BL215" s="156"/>
      <c r="BM215" s="156"/>
      <c r="BN215" s="156"/>
      <c r="BO215" s="154"/>
      <c r="BP215" s="156"/>
      <c r="BQ215" s="156"/>
      <c r="BR215" s="156"/>
      <c r="BS215" s="156"/>
      <c r="BT215" s="154"/>
      <c r="BU215" s="156"/>
      <c r="BV215" s="156"/>
      <c r="BW215" s="156"/>
      <c r="BX215" s="156"/>
      <c r="BY215" s="154"/>
      <c r="BZ215" s="156"/>
      <c r="CA215" s="156"/>
      <c r="CB215" s="156"/>
      <c r="CC215" s="156"/>
      <c r="CD215" s="154"/>
      <c r="CE215" s="156"/>
      <c r="CF215" s="156"/>
      <c r="CG215" s="156"/>
      <c r="CH215" s="156"/>
      <c r="CI215" s="181">
        <f t="shared" si="567"/>
        <v>200000</v>
      </c>
      <c r="CJ215" s="180" t="s">
        <v>916</v>
      </c>
      <c r="CK215" s="180">
        <f t="shared" si="568"/>
        <v>0</v>
      </c>
      <c r="CL215" s="180">
        <f t="shared" si="569"/>
        <v>0</v>
      </c>
      <c r="CM215" s="180">
        <f t="shared" si="570"/>
        <v>0</v>
      </c>
      <c r="CN215" s="181">
        <f t="shared" si="571"/>
        <v>200000</v>
      </c>
      <c r="CO215" s="180" t="s">
        <v>916</v>
      </c>
      <c r="CP215" s="180">
        <f t="shared" si="572"/>
        <v>0</v>
      </c>
      <c r="CQ215" s="180">
        <f t="shared" si="573"/>
        <v>0</v>
      </c>
      <c r="CR215" s="180">
        <f t="shared" si="574"/>
        <v>0</v>
      </c>
      <c r="CS215" s="273">
        <f>CN215-200000-CP215-CQ215-CR215</f>
        <v>0</v>
      </c>
      <c r="CT215" s="14"/>
    </row>
    <row r="216" spans="1:98" s="4" customFormat="1" ht="192" x14ac:dyDescent="0.3">
      <c r="A216" s="190" t="s">
        <v>442</v>
      </c>
      <c r="B216" s="170" t="s">
        <v>443</v>
      </c>
      <c r="C216" s="168" t="s">
        <v>444</v>
      </c>
      <c r="D216" s="193" t="s">
        <v>422</v>
      </c>
      <c r="E216" s="193" t="s">
        <v>333</v>
      </c>
      <c r="F216" s="784"/>
      <c r="G216" s="748"/>
      <c r="H216" s="739"/>
      <c r="I216" s="739"/>
      <c r="J216" s="739"/>
      <c r="K216" s="739"/>
      <c r="L216" s="739"/>
      <c r="M216" s="742"/>
      <c r="N216" s="786"/>
      <c r="O216" s="617" t="s">
        <v>1708</v>
      </c>
      <c r="P216" s="543"/>
      <c r="Q216" s="739"/>
      <c r="R216" s="739"/>
      <c r="S216" s="739"/>
      <c r="T216" s="739"/>
      <c r="U216" s="739"/>
      <c r="V216" s="739"/>
      <c r="W216" s="739"/>
      <c r="X216" s="739"/>
      <c r="Y216" s="739"/>
      <c r="Z216" s="739"/>
      <c r="AA216" s="154"/>
      <c r="AB216" s="156"/>
      <c r="AC216" s="156"/>
      <c r="AD216" s="156"/>
      <c r="AE216" s="156"/>
      <c r="AF216" s="154"/>
      <c r="AG216" s="156"/>
      <c r="AH216" s="156"/>
      <c r="AI216" s="156"/>
      <c r="AJ216" s="156"/>
      <c r="AK216" s="154"/>
      <c r="AL216" s="156"/>
      <c r="AM216" s="156"/>
      <c r="AN216" s="156"/>
      <c r="AO216" s="156"/>
      <c r="AP216" s="154">
        <v>146000</v>
      </c>
      <c r="AQ216" s="156" t="s">
        <v>901</v>
      </c>
      <c r="AR216" s="156"/>
      <c r="AS216" s="156"/>
      <c r="AT216" s="156"/>
      <c r="AU216" s="154"/>
      <c r="AV216" s="156"/>
      <c r="AW216" s="156"/>
      <c r="AX216" s="156"/>
      <c r="AY216" s="156"/>
      <c r="AZ216" s="154"/>
      <c r="BA216" s="156"/>
      <c r="BB216" s="156"/>
      <c r="BC216" s="156"/>
      <c r="BD216" s="156"/>
      <c r="BE216" s="154"/>
      <c r="BF216" s="156"/>
      <c r="BG216" s="156"/>
      <c r="BH216" s="156"/>
      <c r="BI216" s="156"/>
      <c r="BJ216" s="154"/>
      <c r="BK216" s="156"/>
      <c r="BL216" s="156"/>
      <c r="BM216" s="156"/>
      <c r="BN216" s="156"/>
      <c r="BO216" s="154"/>
      <c r="BP216" s="156"/>
      <c r="BQ216" s="156"/>
      <c r="BR216" s="156"/>
      <c r="BS216" s="156"/>
      <c r="BT216" s="154"/>
      <c r="BU216" s="156"/>
      <c r="BV216" s="156"/>
      <c r="BW216" s="156"/>
      <c r="BX216" s="156"/>
      <c r="BY216" s="154"/>
      <c r="BZ216" s="156"/>
      <c r="CA216" s="156"/>
      <c r="CB216" s="156"/>
      <c r="CC216" s="156"/>
      <c r="CD216" s="154"/>
      <c r="CE216" s="156"/>
      <c r="CF216" s="156"/>
      <c r="CG216" s="156"/>
      <c r="CH216" s="156"/>
      <c r="CI216" s="181">
        <f t="shared" si="567"/>
        <v>0</v>
      </c>
      <c r="CJ216" s="180">
        <f t="shared" si="575"/>
        <v>0</v>
      </c>
      <c r="CK216" s="180">
        <f t="shared" si="568"/>
        <v>0</v>
      </c>
      <c r="CL216" s="180">
        <f t="shared" si="569"/>
        <v>0</v>
      </c>
      <c r="CM216" s="180">
        <f t="shared" si="570"/>
        <v>0</v>
      </c>
      <c r="CN216" s="181">
        <f t="shared" si="571"/>
        <v>146000</v>
      </c>
      <c r="CO216" s="180" t="s">
        <v>915</v>
      </c>
      <c r="CP216" s="180">
        <f t="shared" si="572"/>
        <v>0</v>
      </c>
      <c r="CQ216" s="180">
        <f t="shared" si="573"/>
        <v>0</v>
      </c>
      <c r="CR216" s="180">
        <f t="shared" si="574"/>
        <v>0</v>
      </c>
      <c r="CS216" s="273">
        <f>CN216-146000-CP216-CQ216-CR216</f>
        <v>0</v>
      </c>
      <c r="CT216" s="14"/>
    </row>
    <row r="217" spans="1:98" s="4" customFormat="1" ht="144" x14ac:dyDescent="0.3">
      <c r="A217" s="190" t="s">
        <v>445</v>
      </c>
      <c r="B217" s="170" t="s">
        <v>446</v>
      </c>
      <c r="C217" s="168" t="s">
        <v>447</v>
      </c>
      <c r="D217" s="193" t="s">
        <v>422</v>
      </c>
      <c r="E217" s="193" t="s">
        <v>41</v>
      </c>
      <c r="F217" s="784"/>
      <c r="G217" s="748"/>
      <c r="H217" s="739"/>
      <c r="I217" s="739"/>
      <c r="J217" s="739"/>
      <c r="K217" s="739"/>
      <c r="L217" s="739"/>
      <c r="M217" s="742"/>
      <c r="N217" s="786"/>
      <c r="O217" s="617" t="s">
        <v>1614</v>
      </c>
      <c r="P217" s="543"/>
      <c r="Q217" s="739"/>
      <c r="R217" s="739"/>
      <c r="S217" s="739"/>
      <c r="T217" s="739"/>
      <c r="U217" s="739"/>
      <c r="V217" s="739"/>
      <c r="W217" s="739"/>
      <c r="X217" s="739"/>
      <c r="Y217" s="739"/>
      <c r="Z217" s="739"/>
      <c r="AA217" s="154"/>
      <c r="AB217" s="156"/>
      <c r="AC217" s="156"/>
      <c r="AD217" s="156"/>
      <c r="AE217" s="156"/>
      <c r="AF217" s="154"/>
      <c r="AG217" s="156"/>
      <c r="AH217" s="156"/>
      <c r="AI217" s="156"/>
      <c r="AJ217" s="156"/>
      <c r="AK217" s="154"/>
      <c r="AL217" s="156"/>
      <c r="AM217" s="156"/>
      <c r="AN217" s="156"/>
      <c r="AO217" s="156"/>
      <c r="AP217" s="154">
        <v>250000</v>
      </c>
      <c r="AQ217" s="156" t="s">
        <v>902</v>
      </c>
      <c r="AR217" s="156"/>
      <c r="AS217" s="156"/>
      <c r="AT217" s="156"/>
      <c r="AU217" s="154">
        <v>240000</v>
      </c>
      <c r="AV217" s="156" t="s">
        <v>903</v>
      </c>
      <c r="AW217" s="156"/>
      <c r="AX217" s="156"/>
      <c r="AY217" s="156"/>
      <c r="AZ217" s="154">
        <v>240000</v>
      </c>
      <c r="BA217" s="156" t="s">
        <v>904</v>
      </c>
      <c r="BB217" s="156"/>
      <c r="BC217" s="156"/>
      <c r="BD217" s="156"/>
      <c r="BE217" s="154">
        <v>240000</v>
      </c>
      <c r="BF217" s="156" t="s">
        <v>903</v>
      </c>
      <c r="BG217" s="156"/>
      <c r="BH217" s="156"/>
      <c r="BI217" s="156"/>
      <c r="BJ217" s="154">
        <v>110000</v>
      </c>
      <c r="BK217" s="156" t="s">
        <v>905</v>
      </c>
      <c r="BL217" s="156"/>
      <c r="BM217" s="156"/>
      <c r="BN217" s="156"/>
      <c r="BO217" s="154"/>
      <c r="BP217" s="156"/>
      <c r="BQ217" s="156"/>
      <c r="BR217" s="156"/>
      <c r="BS217" s="156"/>
      <c r="BT217" s="154"/>
      <c r="BU217" s="156"/>
      <c r="BV217" s="156"/>
      <c r="BW217" s="156"/>
      <c r="BX217" s="156"/>
      <c r="BY217" s="154"/>
      <c r="BZ217" s="156"/>
      <c r="CA217" s="156"/>
      <c r="CB217" s="156"/>
      <c r="CC217" s="156"/>
      <c r="CD217" s="154"/>
      <c r="CE217" s="156"/>
      <c r="CF217" s="156"/>
      <c r="CG217" s="156"/>
      <c r="CH217" s="156"/>
      <c r="CI217" s="181">
        <f t="shared" si="567"/>
        <v>0</v>
      </c>
      <c r="CJ217" s="180">
        <f t="shared" si="575"/>
        <v>0</v>
      </c>
      <c r="CK217" s="180">
        <f t="shared" si="568"/>
        <v>0</v>
      </c>
      <c r="CL217" s="180">
        <f t="shared" si="569"/>
        <v>0</v>
      </c>
      <c r="CM217" s="180">
        <f t="shared" si="570"/>
        <v>0</v>
      </c>
      <c r="CN217" s="181">
        <f t="shared" si="571"/>
        <v>1080000</v>
      </c>
      <c r="CO217" s="180" t="s">
        <v>914</v>
      </c>
      <c r="CP217" s="180">
        <f t="shared" si="572"/>
        <v>0</v>
      </c>
      <c r="CQ217" s="180">
        <f t="shared" si="573"/>
        <v>0</v>
      </c>
      <c r="CR217" s="180">
        <f t="shared" si="574"/>
        <v>0</v>
      </c>
      <c r="CS217" s="273">
        <f>CN217-1080000-CP217-CQ217-CR217</f>
        <v>0</v>
      </c>
      <c r="CT217" s="14"/>
    </row>
    <row r="218" spans="1:98" s="4" customFormat="1" ht="144" x14ac:dyDescent="0.3">
      <c r="A218" s="190" t="s">
        <v>448</v>
      </c>
      <c r="B218" s="170" t="s">
        <v>872</v>
      </c>
      <c r="C218" s="168" t="s">
        <v>1327</v>
      </c>
      <c r="D218" s="193" t="s">
        <v>422</v>
      </c>
      <c r="E218" s="193">
        <v>2027</v>
      </c>
      <c r="F218" s="784"/>
      <c r="G218" s="748"/>
      <c r="H218" s="739"/>
      <c r="I218" s="739"/>
      <c r="J218" s="739"/>
      <c r="K218" s="739"/>
      <c r="L218" s="739"/>
      <c r="M218" s="742"/>
      <c r="N218" s="786"/>
      <c r="O218" s="617"/>
      <c r="P218" s="543"/>
      <c r="Q218" s="739"/>
      <c r="R218" s="739"/>
      <c r="S218" s="739"/>
      <c r="T218" s="739"/>
      <c r="U218" s="739"/>
      <c r="V218" s="739"/>
      <c r="W218" s="739"/>
      <c r="X218" s="739"/>
      <c r="Y218" s="739"/>
      <c r="Z218" s="739"/>
      <c r="AA218" s="154"/>
      <c r="AB218" s="156"/>
      <c r="AC218" s="156"/>
      <c r="AD218" s="156"/>
      <c r="AE218" s="156"/>
      <c r="AF218" s="154"/>
      <c r="AG218" s="156"/>
      <c r="AH218" s="156"/>
      <c r="AI218" s="156"/>
      <c r="AJ218" s="156"/>
      <c r="AK218" s="154"/>
      <c r="AL218" s="156"/>
      <c r="AM218" s="156"/>
      <c r="AN218" s="156"/>
      <c r="AO218" s="156"/>
      <c r="AP218" s="154"/>
      <c r="AQ218" s="156"/>
      <c r="AR218" s="156"/>
      <c r="AS218" s="156"/>
      <c r="AT218" s="156"/>
      <c r="AU218" s="154"/>
      <c r="AV218" s="156"/>
      <c r="AW218" s="156"/>
      <c r="AX218" s="156"/>
      <c r="AY218" s="156"/>
      <c r="AZ218" s="154"/>
      <c r="BA218" s="156"/>
      <c r="BB218" s="156"/>
      <c r="BC218" s="156"/>
      <c r="BD218" s="156"/>
      <c r="BE218" s="154"/>
      <c r="BF218" s="156"/>
      <c r="BG218" s="156"/>
      <c r="BH218" s="156"/>
      <c r="BI218" s="156"/>
      <c r="BJ218" s="154"/>
      <c r="BK218" s="156"/>
      <c r="BL218" s="156"/>
      <c r="BM218" s="156"/>
      <c r="BN218" s="156"/>
      <c r="BO218" s="154">
        <v>245000</v>
      </c>
      <c r="BP218" s="156" t="s">
        <v>906</v>
      </c>
      <c r="BQ218" s="156"/>
      <c r="BR218" s="156"/>
      <c r="BS218" s="156"/>
      <c r="BT218" s="154"/>
      <c r="BU218" s="156"/>
      <c r="BV218" s="156"/>
      <c r="BW218" s="156"/>
      <c r="BX218" s="156"/>
      <c r="BY218" s="154"/>
      <c r="BZ218" s="156"/>
      <c r="CA218" s="156"/>
      <c r="CB218" s="156"/>
      <c r="CC218" s="156"/>
      <c r="CD218" s="154"/>
      <c r="CE218" s="156"/>
      <c r="CF218" s="156"/>
      <c r="CG218" s="156"/>
      <c r="CH218" s="156"/>
      <c r="CI218" s="181">
        <f t="shared" si="567"/>
        <v>0</v>
      </c>
      <c r="CJ218" s="180">
        <f t="shared" si="575"/>
        <v>0</v>
      </c>
      <c r="CK218" s="180">
        <f t="shared" si="568"/>
        <v>0</v>
      </c>
      <c r="CL218" s="180">
        <f t="shared" si="569"/>
        <v>0</v>
      </c>
      <c r="CM218" s="180">
        <f t="shared" si="570"/>
        <v>0</v>
      </c>
      <c r="CN218" s="181">
        <f t="shared" si="571"/>
        <v>245000</v>
      </c>
      <c r="CO218" s="180" t="s">
        <v>913</v>
      </c>
      <c r="CP218" s="180">
        <f t="shared" si="572"/>
        <v>0</v>
      </c>
      <c r="CQ218" s="180">
        <f t="shared" si="573"/>
        <v>0</v>
      </c>
      <c r="CR218" s="180">
        <f t="shared" si="574"/>
        <v>0</v>
      </c>
      <c r="CS218" s="273">
        <f>CN218-245000-CP218-CQ218-CR218</f>
        <v>0</v>
      </c>
      <c r="CT218" s="14"/>
    </row>
    <row r="219" spans="1:98" s="4" customFormat="1" ht="144" x14ac:dyDescent="0.3">
      <c r="A219" s="190" t="s">
        <v>449</v>
      </c>
      <c r="B219" s="170" t="s">
        <v>450</v>
      </c>
      <c r="C219" s="168" t="s">
        <v>451</v>
      </c>
      <c r="D219" s="193" t="s">
        <v>422</v>
      </c>
      <c r="E219" s="193" t="s">
        <v>416</v>
      </c>
      <c r="F219" s="784"/>
      <c r="G219" s="748"/>
      <c r="H219" s="739"/>
      <c r="I219" s="739"/>
      <c r="J219" s="739"/>
      <c r="K219" s="739"/>
      <c r="L219" s="739"/>
      <c r="M219" s="742"/>
      <c r="N219" s="786"/>
      <c r="O219" s="617"/>
      <c r="P219" s="543"/>
      <c r="Q219" s="739"/>
      <c r="R219" s="739"/>
      <c r="S219" s="739"/>
      <c r="T219" s="739"/>
      <c r="U219" s="739"/>
      <c r="V219" s="739"/>
      <c r="W219" s="739"/>
      <c r="X219" s="739"/>
      <c r="Y219" s="739"/>
      <c r="Z219" s="739"/>
      <c r="AA219" s="154"/>
      <c r="AB219" s="156"/>
      <c r="AC219" s="156"/>
      <c r="AD219" s="156"/>
      <c r="AE219" s="156"/>
      <c r="AF219" s="154"/>
      <c r="AG219" s="156"/>
      <c r="AH219" s="156"/>
      <c r="AI219" s="156"/>
      <c r="AJ219" s="156"/>
      <c r="AK219" s="154"/>
      <c r="AL219" s="156"/>
      <c r="AM219" s="156"/>
      <c r="AN219" s="156"/>
      <c r="AO219" s="156"/>
      <c r="AP219" s="154"/>
      <c r="AQ219" s="156"/>
      <c r="AR219" s="156"/>
      <c r="AS219" s="156"/>
      <c r="AT219" s="156"/>
      <c r="AU219" s="154"/>
      <c r="AV219" s="156"/>
      <c r="AW219" s="156"/>
      <c r="AX219" s="156"/>
      <c r="AY219" s="156"/>
      <c r="AZ219" s="154"/>
      <c r="BA219" s="156"/>
      <c r="BB219" s="156"/>
      <c r="BC219" s="156"/>
      <c r="BD219" s="156"/>
      <c r="BE219" s="154"/>
      <c r="BF219" s="156"/>
      <c r="BG219" s="156"/>
      <c r="BH219" s="156"/>
      <c r="BI219" s="156"/>
      <c r="BJ219" s="154"/>
      <c r="BK219" s="156"/>
      <c r="BL219" s="156"/>
      <c r="BM219" s="156"/>
      <c r="BN219" s="156"/>
      <c r="BO219" s="154"/>
      <c r="BP219" s="156"/>
      <c r="BQ219" s="156"/>
      <c r="BR219" s="156"/>
      <c r="BS219" s="156"/>
      <c r="BT219" s="154">
        <v>375000</v>
      </c>
      <c r="BU219" s="156" t="s">
        <v>907</v>
      </c>
      <c r="BV219" s="156"/>
      <c r="BW219" s="156"/>
      <c r="BX219" s="156"/>
      <c r="BY219" s="154">
        <v>250000</v>
      </c>
      <c r="BZ219" s="156" t="s">
        <v>908</v>
      </c>
      <c r="CA219" s="156"/>
      <c r="CB219" s="156"/>
      <c r="CC219" s="156"/>
      <c r="CD219" s="154"/>
      <c r="CE219" s="156"/>
      <c r="CF219" s="156"/>
      <c r="CG219" s="156"/>
      <c r="CH219" s="156"/>
      <c r="CI219" s="181">
        <f t="shared" si="567"/>
        <v>0</v>
      </c>
      <c r="CJ219" s="180">
        <f t="shared" si="575"/>
        <v>0</v>
      </c>
      <c r="CK219" s="180">
        <f t="shared" si="568"/>
        <v>0</v>
      </c>
      <c r="CL219" s="180">
        <f t="shared" si="569"/>
        <v>0</v>
      </c>
      <c r="CM219" s="180">
        <f t="shared" si="570"/>
        <v>0</v>
      </c>
      <c r="CN219" s="181">
        <f t="shared" si="571"/>
        <v>625000</v>
      </c>
      <c r="CO219" s="180" t="s">
        <v>912</v>
      </c>
      <c r="CP219" s="180">
        <f t="shared" si="572"/>
        <v>0</v>
      </c>
      <c r="CQ219" s="180">
        <f t="shared" si="573"/>
        <v>0</v>
      </c>
      <c r="CR219" s="180">
        <f t="shared" si="574"/>
        <v>0</v>
      </c>
      <c r="CS219" s="273">
        <f>CN219-625000-CP219-CQ219-CR219</f>
        <v>0</v>
      </c>
      <c r="CT219" s="14"/>
    </row>
    <row r="220" spans="1:98" s="4" customFormat="1" ht="168" x14ac:dyDescent="0.3">
      <c r="A220" s="190" t="s">
        <v>452</v>
      </c>
      <c r="B220" s="170" t="s">
        <v>453</v>
      </c>
      <c r="C220" s="168" t="s">
        <v>454</v>
      </c>
      <c r="D220" s="193" t="s">
        <v>422</v>
      </c>
      <c r="E220" s="193" t="s">
        <v>455</v>
      </c>
      <c r="F220" s="784"/>
      <c r="G220" s="748"/>
      <c r="H220" s="739"/>
      <c r="I220" s="739"/>
      <c r="J220" s="739"/>
      <c r="K220" s="739"/>
      <c r="L220" s="739"/>
      <c r="M220" s="742"/>
      <c r="N220" s="786"/>
      <c r="O220" s="617"/>
      <c r="P220" s="543"/>
      <c r="Q220" s="739"/>
      <c r="R220" s="739"/>
      <c r="S220" s="739"/>
      <c r="T220" s="739"/>
      <c r="U220" s="739"/>
      <c r="V220" s="739"/>
      <c r="W220" s="739"/>
      <c r="X220" s="739"/>
      <c r="Y220" s="739"/>
      <c r="Z220" s="739"/>
      <c r="AA220" s="154"/>
      <c r="AB220" s="156"/>
      <c r="AC220" s="156"/>
      <c r="AD220" s="156"/>
      <c r="AE220" s="156"/>
      <c r="AF220" s="154"/>
      <c r="AG220" s="156"/>
      <c r="AH220" s="156"/>
      <c r="AI220" s="156"/>
      <c r="AJ220" s="156"/>
      <c r="AK220" s="154"/>
      <c r="AL220" s="156"/>
      <c r="AM220" s="156"/>
      <c r="AN220" s="156"/>
      <c r="AO220" s="156"/>
      <c r="AP220" s="154"/>
      <c r="AQ220" s="156"/>
      <c r="AR220" s="156"/>
      <c r="AS220" s="156"/>
      <c r="AT220" s="156"/>
      <c r="AU220" s="154"/>
      <c r="AV220" s="156"/>
      <c r="AW220" s="156"/>
      <c r="AX220" s="156"/>
      <c r="AY220" s="156"/>
      <c r="AZ220" s="154"/>
      <c r="BA220" s="156"/>
      <c r="BB220" s="156"/>
      <c r="BC220" s="156"/>
      <c r="BD220" s="156"/>
      <c r="BE220" s="154"/>
      <c r="BF220" s="156"/>
      <c r="BG220" s="156"/>
      <c r="BH220" s="156"/>
      <c r="BI220" s="156"/>
      <c r="BJ220" s="154"/>
      <c r="BK220" s="156"/>
      <c r="BL220" s="156"/>
      <c r="BM220" s="156"/>
      <c r="BN220" s="156"/>
      <c r="BO220" s="154"/>
      <c r="BP220" s="156"/>
      <c r="BQ220" s="156"/>
      <c r="BR220" s="156"/>
      <c r="BS220" s="156"/>
      <c r="BT220" s="154"/>
      <c r="BU220" s="156"/>
      <c r="BV220" s="156"/>
      <c r="BW220" s="156"/>
      <c r="BX220" s="156"/>
      <c r="BY220" s="154">
        <v>330000</v>
      </c>
      <c r="BZ220" s="156" t="s">
        <v>909</v>
      </c>
      <c r="CA220" s="156"/>
      <c r="CB220" s="156"/>
      <c r="CC220" s="156"/>
      <c r="CD220" s="154">
        <v>260000</v>
      </c>
      <c r="CE220" s="156" t="s">
        <v>910</v>
      </c>
      <c r="CF220" s="156"/>
      <c r="CG220" s="156"/>
      <c r="CH220" s="156"/>
      <c r="CI220" s="181">
        <f t="shared" si="567"/>
        <v>0</v>
      </c>
      <c r="CJ220" s="180">
        <f t="shared" si="575"/>
        <v>0</v>
      </c>
      <c r="CK220" s="180">
        <f t="shared" si="568"/>
        <v>0</v>
      </c>
      <c r="CL220" s="180">
        <f t="shared" si="569"/>
        <v>0</v>
      </c>
      <c r="CM220" s="180">
        <f t="shared" si="570"/>
        <v>0</v>
      </c>
      <c r="CN220" s="181">
        <f t="shared" si="571"/>
        <v>590000</v>
      </c>
      <c r="CO220" s="180" t="s">
        <v>911</v>
      </c>
      <c r="CP220" s="180">
        <f t="shared" si="572"/>
        <v>0</v>
      </c>
      <c r="CQ220" s="180">
        <f t="shared" si="573"/>
        <v>0</v>
      </c>
      <c r="CR220" s="180">
        <f t="shared" si="574"/>
        <v>0</v>
      </c>
      <c r="CS220" s="273">
        <f>CN220-590000-CP220-CQ220-CR220</f>
        <v>0</v>
      </c>
      <c r="CT220" s="14"/>
    </row>
    <row r="221" spans="1:98" s="4" customFormat="1" ht="168" x14ac:dyDescent="0.3">
      <c r="A221" s="190" t="s">
        <v>892</v>
      </c>
      <c r="B221" s="670" t="s">
        <v>456</v>
      </c>
      <c r="C221" s="168" t="s">
        <v>457</v>
      </c>
      <c r="D221" s="193" t="s">
        <v>422</v>
      </c>
      <c r="E221" s="193" t="s">
        <v>1213</v>
      </c>
      <c r="F221" s="778"/>
      <c r="G221" s="715"/>
      <c r="H221" s="740"/>
      <c r="I221" s="740"/>
      <c r="J221" s="740"/>
      <c r="K221" s="740"/>
      <c r="L221" s="740"/>
      <c r="M221" s="743"/>
      <c r="N221" s="787"/>
      <c r="O221" s="699" t="s">
        <v>1724</v>
      </c>
      <c r="P221" s="538"/>
      <c r="Q221" s="740"/>
      <c r="R221" s="740"/>
      <c r="S221" s="740"/>
      <c r="T221" s="740"/>
      <c r="U221" s="740"/>
      <c r="V221" s="740"/>
      <c r="W221" s="740"/>
      <c r="X221" s="740"/>
      <c r="Y221" s="740"/>
      <c r="Z221" s="740"/>
      <c r="AA221" s="154"/>
      <c r="AB221" s="156"/>
      <c r="AC221" s="156"/>
      <c r="AD221" s="156"/>
      <c r="AE221" s="156"/>
      <c r="AF221" s="154"/>
      <c r="AG221" s="156"/>
      <c r="AH221" s="156"/>
      <c r="AI221" s="156"/>
      <c r="AJ221" s="156"/>
      <c r="AK221" s="154"/>
      <c r="AL221" s="156"/>
      <c r="AM221" s="156"/>
      <c r="AN221" s="156"/>
      <c r="AO221" s="156"/>
      <c r="AP221" s="154">
        <v>78000</v>
      </c>
      <c r="AQ221" s="156"/>
      <c r="AR221" s="156"/>
      <c r="AS221" s="156"/>
      <c r="AT221" s="156">
        <v>78000</v>
      </c>
      <c r="AU221" s="154">
        <v>82000</v>
      </c>
      <c r="AV221" s="156"/>
      <c r="AW221" s="156"/>
      <c r="AX221" s="156"/>
      <c r="AY221" s="156">
        <v>82000</v>
      </c>
      <c r="AZ221" s="154">
        <v>85000</v>
      </c>
      <c r="BA221" s="156"/>
      <c r="BB221" s="156"/>
      <c r="BC221" s="156"/>
      <c r="BD221" s="156">
        <v>85000</v>
      </c>
      <c r="BE221" s="154">
        <v>88000</v>
      </c>
      <c r="BF221" s="156"/>
      <c r="BG221" s="156"/>
      <c r="BH221" s="156"/>
      <c r="BI221" s="156">
        <v>88000</v>
      </c>
      <c r="BJ221" s="154">
        <v>92000</v>
      </c>
      <c r="BK221" s="156"/>
      <c r="BL221" s="156"/>
      <c r="BM221" s="156"/>
      <c r="BN221" s="156">
        <v>92000</v>
      </c>
      <c r="BO221" s="154">
        <v>95000</v>
      </c>
      <c r="BP221" s="156"/>
      <c r="BQ221" s="156"/>
      <c r="BR221" s="156"/>
      <c r="BS221" s="156">
        <v>95000</v>
      </c>
      <c r="BT221" s="154">
        <v>99000</v>
      </c>
      <c r="BU221" s="156"/>
      <c r="BV221" s="156"/>
      <c r="BW221" s="156"/>
      <c r="BX221" s="156">
        <v>99000</v>
      </c>
      <c r="BY221" s="154">
        <v>103000</v>
      </c>
      <c r="BZ221" s="156"/>
      <c r="CA221" s="156"/>
      <c r="CB221" s="156"/>
      <c r="CC221" s="156">
        <v>103000</v>
      </c>
      <c r="CD221" s="154">
        <v>107000</v>
      </c>
      <c r="CE221" s="156"/>
      <c r="CF221" s="156"/>
      <c r="CG221" s="156"/>
      <c r="CH221" s="156">
        <v>107000</v>
      </c>
      <c r="CI221" s="181">
        <f t="shared" si="567"/>
        <v>0</v>
      </c>
      <c r="CJ221" s="180">
        <f t="shared" si="575"/>
        <v>0</v>
      </c>
      <c r="CK221" s="180">
        <f t="shared" si="568"/>
        <v>0</v>
      </c>
      <c r="CL221" s="180">
        <f t="shared" si="569"/>
        <v>0</v>
      </c>
      <c r="CM221" s="180">
        <f t="shared" si="570"/>
        <v>0</v>
      </c>
      <c r="CN221" s="181">
        <f t="shared" si="571"/>
        <v>829000</v>
      </c>
      <c r="CO221" s="180">
        <f>AB221+AG221+AL221+AQ221+AV221+BA221+BF221+BK221+BP221+BU221+BZ221+CE221</f>
        <v>0</v>
      </c>
      <c r="CP221" s="180">
        <f t="shared" si="572"/>
        <v>0</v>
      </c>
      <c r="CQ221" s="180">
        <f t="shared" si="573"/>
        <v>0</v>
      </c>
      <c r="CR221" s="180">
        <f t="shared" si="574"/>
        <v>829000</v>
      </c>
      <c r="CS221" s="273">
        <f>CN221-CO221-CP221-CQ221-CR221</f>
        <v>0</v>
      </c>
      <c r="CT221" s="14"/>
    </row>
    <row r="222" spans="1:98" s="4" customFormat="1" ht="144" x14ac:dyDescent="0.3">
      <c r="A222" s="504" t="s">
        <v>1099</v>
      </c>
      <c r="B222" s="505" t="s">
        <v>948</v>
      </c>
      <c r="C222" s="506" t="s">
        <v>1328</v>
      </c>
      <c r="D222" s="476" t="s">
        <v>422</v>
      </c>
      <c r="E222" s="476" t="s">
        <v>949</v>
      </c>
      <c r="F222" s="481" t="s">
        <v>968</v>
      </c>
      <c r="G222" s="503" t="s">
        <v>889</v>
      </c>
      <c r="H222" s="534"/>
      <c r="I222" s="508">
        <v>4.4000000000000004</v>
      </c>
      <c r="J222" s="633"/>
      <c r="K222" s="508"/>
      <c r="L222" s="633"/>
      <c r="M222" s="705"/>
      <c r="N222" s="598" t="s">
        <v>1554</v>
      </c>
      <c r="O222" s="617" t="s">
        <v>1615</v>
      </c>
      <c r="P222" s="542"/>
      <c r="Q222" s="508"/>
      <c r="R222" s="508"/>
      <c r="S222" s="508"/>
      <c r="T222" s="508"/>
      <c r="U222" s="508"/>
      <c r="V222" s="508"/>
      <c r="W222" s="508"/>
      <c r="X222" s="508"/>
      <c r="Y222" s="508"/>
      <c r="Z222" s="508"/>
      <c r="AA222" s="480">
        <v>183614.6</v>
      </c>
      <c r="AB222" s="492" t="s">
        <v>987</v>
      </c>
      <c r="AC222" s="491"/>
      <c r="AD222" s="491"/>
      <c r="AE222" s="491"/>
      <c r="AF222" s="494"/>
      <c r="AG222" s="491"/>
      <c r="AH222" s="491"/>
      <c r="AI222" s="491"/>
      <c r="AJ222" s="491"/>
      <c r="AK222" s="494"/>
      <c r="AL222" s="491"/>
      <c r="AM222" s="491"/>
      <c r="AN222" s="491"/>
      <c r="AO222" s="491"/>
      <c r="AP222" s="494"/>
      <c r="AQ222" s="491"/>
      <c r="AR222" s="491"/>
      <c r="AS222" s="491"/>
      <c r="AT222" s="491"/>
      <c r="AU222" s="494"/>
      <c r="AV222" s="491"/>
      <c r="AW222" s="491"/>
      <c r="AX222" s="491"/>
      <c r="AY222" s="491"/>
      <c r="AZ222" s="494"/>
      <c r="BA222" s="491"/>
      <c r="BB222" s="491"/>
      <c r="BC222" s="491"/>
      <c r="BD222" s="491"/>
      <c r="BE222" s="494"/>
      <c r="BF222" s="491"/>
      <c r="BG222" s="491"/>
      <c r="BH222" s="491"/>
      <c r="BI222" s="491"/>
      <c r="BJ222" s="494"/>
      <c r="BK222" s="491"/>
      <c r="BL222" s="491"/>
      <c r="BM222" s="491"/>
      <c r="BN222" s="491"/>
      <c r="BO222" s="494"/>
      <c r="BP222" s="491"/>
      <c r="BQ222" s="491"/>
      <c r="BR222" s="491"/>
      <c r="BS222" s="491"/>
      <c r="BT222" s="494"/>
      <c r="BU222" s="491"/>
      <c r="BV222" s="491"/>
      <c r="BW222" s="491"/>
      <c r="BX222" s="491"/>
      <c r="BY222" s="494"/>
      <c r="BZ222" s="491"/>
      <c r="CA222" s="491"/>
      <c r="CB222" s="491"/>
      <c r="CC222" s="491"/>
      <c r="CD222" s="494"/>
      <c r="CE222" s="491"/>
      <c r="CF222" s="491"/>
      <c r="CG222" s="491"/>
      <c r="CH222" s="491"/>
      <c r="CI222" s="501">
        <f>AA222+AF222+AK222</f>
        <v>183614.6</v>
      </c>
      <c r="CJ222" s="492" t="s">
        <v>988</v>
      </c>
      <c r="CK222" s="492">
        <f>AC222+AH222+AM222</f>
        <v>0</v>
      </c>
      <c r="CL222" s="492">
        <f>AD222+AI222+AN222</f>
        <v>0</v>
      </c>
      <c r="CM222" s="492">
        <f>AE222+AJ222+AO222</f>
        <v>0</v>
      </c>
      <c r="CN222" s="501">
        <f>AA222+AF222+AK222+AP222+AU222+AZ222+BE222+BJ222+BO222+BT222+BY222+CD222</f>
        <v>183614.6</v>
      </c>
      <c r="CO222" s="492" t="s">
        <v>988</v>
      </c>
      <c r="CP222" s="492">
        <f>AC222+AH222+AM222+AR222+AW222+BB222+BG222+BL222+BQ222+BV222+CA222+CF222</f>
        <v>0</v>
      </c>
      <c r="CQ222" s="492">
        <f>AD222+AI222+AN222+AS222+AX222+BC222+BH222+BM222+BR222+BW222+CB222+CG222</f>
        <v>0</v>
      </c>
      <c r="CR222" s="492">
        <f>AE222+AJ222+AO222+AT222+AY222+BD222+BI222+BN222+BS222+BX222+CC222+CH222</f>
        <v>0</v>
      </c>
      <c r="CS222" s="501">
        <f>CN222-183614.6-CP222-CQ222-CR222</f>
        <v>0</v>
      </c>
      <c r="CT222" s="14"/>
    </row>
    <row r="223" spans="1:98" s="4" customFormat="1" ht="216" x14ac:dyDescent="0.3">
      <c r="A223" s="504" t="s">
        <v>950</v>
      </c>
      <c r="B223" s="505" t="s">
        <v>890</v>
      </c>
      <c r="C223" s="506" t="s">
        <v>891</v>
      </c>
      <c r="D223" s="476" t="s">
        <v>422</v>
      </c>
      <c r="E223" s="476" t="s">
        <v>52</v>
      </c>
      <c r="F223" s="481" t="s">
        <v>893</v>
      </c>
      <c r="G223" s="503" t="s">
        <v>62</v>
      </c>
      <c r="H223" s="534">
        <v>52.8</v>
      </c>
      <c r="I223" s="508">
        <v>72</v>
      </c>
      <c r="J223" s="633">
        <v>74.7</v>
      </c>
      <c r="K223" s="508">
        <v>69.900000000000006</v>
      </c>
      <c r="L223" s="633">
        <v>77.7</v>
      </c>
      <c r="M223" s="705">
        <v>71.400000000000006</v>
      </c>
      <c r="N223" s="598" t="s">
        <v>1555</v>
      </c>
      <c r="O223" s="617" t="s">
        <v>1669</v>
      </c>
      <c r="P223" s="542"/>
      <c r="Q223" s="508">
        <v>77.7</v>
      </c>
      <c r="R223" s="508">
        <v>80</v>
      </c>
      <c r="S223" s="508">
        <v>80</v>
      </c>
      <c r="T223" s="508">
        <v>80</v>
      </c>
      <c r="U223" s="508">
        <v>80</v>
      </c>
      <c r="V223" s="508">
        <v>84</v>
      </c>
      <c r="W223" s="508">
        <v>88</v>
      </c>
      <c r="X223" s="508">
        <v>93</v>
      </c>
      <c r="Y223" s="508">
        <v>97</v>
      </c>
      <c r="Z223" s="508">
        <v>100</v>
      </c>
      <c r="AA223" s="487">
        <f>20240.6+626146.6+836033.2</f>
        <v>1482420.4</v>
      </c>
      <c r="AB223" s="484" t="s">
        <v>1426</v>
      </c>
      <c r="AC223" s="484">
        <v>836033.2</v>
      </c>
      <c r="AD223" s="484"/>
      <c r="AE223" s="484"/>
      <c r="AF223" s="487">
        <f>20240.6+417303.6+868638.5</f>
        <v>1306182.7</v>
      </c>
      <c r="AG223" s="484" t="s">
        <v>1425</v>
      </c>
      <c r="AH223" s="484">
        <v>868638.5</v>
      </c>
      <c r="AI223" s="484"/>
      <c r="AJ223" s="484"/>
      <c r="AK223" s="487">
        <f>20240.6+692496.8+868638.5</f>
        <v>1581375.9</v>
      </c>
      <c r="AL223" s="484" t="s">
        <v>1427</v>
      </c>
      <c r="AM223" s="484">
        <v>868638.5</v>
      </c>
      <c r="AN223" s="484"/>
      <c r="AO223" s="484"/>
      <c r="AP223" s="487">
        <f>21030+721582.2+902515.4</f>
        <v>1645127.6</v>
      </c>
      <c r="AQ223" s="484" t="s">
        <v>1045</v>
      </c>
      <c r="AR223" s="484">
        <v>902515.4</v>
      </c>
      <c r="AS223" s="484"/>
      <c r="AT223" s="484"/>
      <c r="AU223" s="487">
        <f>21850.2+749723.9+937713.5+50000</f>
        <v>1759287.6</v>
      </c>
      <c r="AV223" s="484" t="s">
        <v>1046</v>
      </c>
      <c r="AW223" s="484">
        <v>937713.5</v>
      </c>
      <c r="AX223" s="484"/>
      <c r="AY223" s="484">
        <v>50000</v>
      </c>
      <c r="AZ223" s="487">
        <f>22702.4+778963.1+974284.3+200000</f>
        <v>1975949.8</v>
      </c>
      <c r="BA223" s="484" t="s">
        <v>1047</v>
      </c>
      <c r="BB223" s="484">
        <v>974284.3</v>
      </c>
      <c r="BC223" s="484"/>
      <c r="BD223" s="484">
        <v>200000</v>
      </c>
      <c r="BE223" s="487">
        <f>23587.8+809342.7+1012281.4+350000</f>
        <v>2195211.9</v>
      </c>
      <c r="BF223" s="484" t="s">
        <v>1048</v>
      </c>
      <c r="BG223" s="484">
        <v>1012281.4</v>
      </c>
      <c r="BH223" s="484"/>
      <c r="BI223" s="484">
        <v>350000</v>
      </c>
      <c r="BJ223" s="487">
        <f>24507.7+840907.1+1051760.4+250000</f>
        <v>2167175.1999999997</v>
      </c>
      <c r="BK223" s="484" t="s">
        <v>1049</v>
      </c>
      <c r="BL223" s="484">
        <v>1051760.3999999999</v>
      </c>
      <c r="BM223" s="484"/>
      <c r="BN223" s="484">
        <v>250000</v>
      </c>
      <c r="BO223" s="487">
        <f>25463.5+873702.5+1092779.1+110000</f>
        <v>2101945.1</v>
      </c>
      <c r="BP223" s="484" t="s">
        <v>1050</v>
      </c>
      <c r="BQ223" s="484">
        <v>1092779.1000000001</v>
      </c>
      <c r="BR223" s="484"/>
      <c r="BS223" s="484">
        <v>110000</v>
      </c>
      <c r="BT223" s="487">
        <f>26456.6+907776.9+1135397.5+115000</f>
        <v>2184631</v>
      </c>
      <c r="BU223" s="484" t="s">
        <v>1051</v>
      </c>
      <c r="BV223" s="484">
        <v>1135397.5</v>
      </c>
      <c r="BW223" s="484"/>
      <c r="BX223" s="484">
        <v>115000</v>
      </c>
      <c r="BY223" s="487">
        <f>27488.4+943180.2+1179678+120000</f>
        <v>2270346.6</v>
      </c>
      <c r="BZ223" s="484" t="s">
        <v>1052</v>
      </c>
      <c r="CA223" s="484">
        <v>1179678</v>
      </c>
      <c r="CB223" s="484"/>
      <c r="CC223" s="484">
        <v>120000</v>
      </c>
      <c r="CD223" s="487">
        <f>28560.4+979964.2+1225685.4+125000</f>
        <v>2359210</v>
      </c>
      <c r="CE223" s="484" t="s">
        <v>1053</v>
      </c>
      <c r="CF223" s="484">
        <v>1225685.3999999999</v>
      </c>
      <c r="CG223" s="484"/>
      <c r="CH223" s="484">
        <v>125000</v>
      </c>
      <c r="CI223" s="501">
        <f>AA223+AF223+AK223</f>
        <v>4369979</v>
      </c>
      <c r="CJ223" s="492" t="s">
        <v>1428</v>
      </c>
      <c r="CK223" s="492">
        <f>AC223+AH223+AM223</f>
        <v>2573310.2000000002</v>
      </c>
      <c r="CL223" s="492">
        <f t="shared" ref="CL223" si="576">AD223+AI223+AN223</f>
        <v>0</v>
      </c>
      <c r="CM223" s="492">
        <f t="shared" ref="CM223" si="577">AE223+AJ223+AO223</f>
        <v>0</v>
      </c>
      <c r="CN223" s="501">
        <f>AA223+AF223+AK223+AP223+AU223+AZ223+BE223+BJ223+BO223+BT223+BY223+CD223</f>
        <v>23028863.800000001</v>
      </c>
      <c r="CO223" s="492" t="s">
        <v>1429</v>
      </c>
      <c r="CP223" s="492">
        <f>AC223+AH223+AM223+AR223+AW223+BB223+BG223+BL223+BQ223+BV223+CA223+CF223</f>
        <v>12085405.199999999</v>
      </c>
      <c r="CQ223" s="492">
        <f t="shared" si="573"/>
        <v>0</v>
      </c>
      <c r="CR223" s="492">
        <f t="shared" si="574"/>
        <v>1320000</v>
      </c>
      <c r="CS223" s="501">
        <f>CN223-282368.8-9341089.8-CP223-CQ223-CR223</f>
        <v>0</v>
      </c>
      <c r="CT223" s="14"/>
    </row>
    <row r="224" spans="1:98" s="4" customFormat="1" ht="144" x14ac:dyDescent="0.35">
      <c r="A224" s="190" t="s">
        <v>1100</v>
      </c>
      <c r="B224" s="189" t="s">
        <v>952</v>
      </c>
      <c r="C224" s="188" t="s">
        <v>1329</v>
      </c>
      <c r="D224" s="193" t="s">
        <v>422</v>
      </c>
      <c r="E224" s="193" t="s">
        <v>152</v>
      </c>
      <c r="F224" s="192" t="s">
        <v>951</v>
      </c>
      <c r="G224" s="187" t="s">
        <v>62</v>
      </c>
      <c r="H224" s="534" t="s">
        <v>140</v>
      </c>
      <c r="I224" s="124">
        <v>100</v>
      </c>
      <c r="J224" s="633">
        <v>100</v>
      </c>
      <c r="K224" s="124">
        <v>100</v>
      </c>
      <c r="L224" s="633">
        <v>100</v>
      </c>
      <c r="M224" s="705">
        <v>100</v>
      </c>
      <c r="N224" s="597"/>
      <c r="O224" s="625"/>
      <c r="P224" s="444"/>
      <c r="Q224" s="124">
        <v>100</v>
      </c>
      <c r="R224" s="124"/>
      <c r="S224" s="124"/>
      <c r="T224" s="124"/>
      <c r="U224" s="124"/>
      <c r="V224" s="124"/>
      <c r="W224" s="124"/>
      <c r="X224" s="124"/>
      <c r="Y224" s="124"/>
      <c r="Z224" s="124"/>
      <c r="AA224" s="194">
        <v>33090.6</v>
      </c>
      <c r="AB224" s="145" t="s">
        <v>1244</v>
      </c>
      <c r="AC224" s="156"/>
      <c r="AD224" s="156"/>
      <c r="AE224" s="156"/>
      <c r="AF224" s="194">
        <v>3000</v>
      </c>
      <c r="AG224" s="156" t="s">
        <v>1417</v>
      </c>
      <c r="AH224" s="156"/>
      <c r="AI224" s="156"/>
      <c r="AJ224" s="156"/>
      <c r="AK224" s="194">
        <v>3000</v>
      </c>
      <c r="AL224" s="156" t="s">
        <v>1417</v>
      </c>
      <c r="AM224" s="156"/>
      <c r="AN224" s="156"/>
      <c r="AO224" s="156"/>
      <c r="AP224" s="194"/>
      <c r="AQ224" s="156"/>
      <c r="AR224" s="156"/>
      <c r="AS224" s="156"/>
      <c r="AT224" s="156"/>
      <c r="AU224" s="194"/>
      <c r="AV224" s="156"/>
      <c r="AW224" s="156"/>
      <c r="AX224" s="156"/>
      <c r="AY224" s="156"/>
      <c r="AZ224" s="194"/>
      <c r="BA224" s="156"/>
      <c r="BB224" s="156"/>
      <c r="BC224" s="156"/>
      <c r="BD224" s="156"/>
      <c r="BE224" s="194"/>
      <c r="BF224" s="156"/>
      <c r="BG224" s="156"/>
      <c r="BH224" s="156"/>
      <c r="BI224" s="156"/>
      <c r="BJ224" s="194"/>
      <c r="BK224" s="156"/>
      <c r="BL224" s="156"/>
      <c r="BM224" s="156"/>
      <c r="BN224" s="156"/>
      <c r="BO224" s="194"/>
      <c r="BP224" s="156"/>
      <c r="BQ224" s="156"/>
      <c r="BR224" s="156"/>
      <c r="BS224" s="156"/>
      <c r="BT224" s="194"/>
      <c r="BU224" s="156"/>
      <c r="BV224" s="156"/>
      <c r="BW224" s="156"/>
      <c r="BX224" s="156"/>
      <c r="BY224" s="194"/>
      <c r="BZ224" s="156"/>
      <c r="CA224" s="156"/>
      <c r="CB224" s="156"/>
      <c r="CC224" s="156"/>
      <c r="CD224" s="194"/>
      <c r="CE224" s="156"/>
      <c r="CF224" s="156"/>
      <c r="CG224" s="156"/>
      <c r="CH224" s="156"/>
      <c r="CI224" s="181">
        <f t="shared" ref="CI224:CM224" si="578">AA224+AF224+AK224</f>
        <v>39090.6</v>
      </c>
      <c r="CJ224" s="145" t="s">
        <v>1238</v>
      </c>
      <c r="CK224" s="180">
        <f t="shared" si="578"/>
        <v>0</v>
      </c>
      <c r="CL224" s="180">
        <f t="shared" si="578"/>
        <v>0</v>
      </c>
      <c r="CM224" s="180">
        <f t="shared" si="578"/>
        <v>0</v>
      </c>
      <c r="CN224" s="181">
        <f t="shared" si="571"/>
        <v>39090.6</v>
      </c>
      <c r="CO224" s="145" t="s">
        <v>1238</v>
      </c>
      <c r="CP224" s="180">
        <f t="shared" si="572"/>
        <v>0</v>
      </c>
      <c r="CQ224" s="180">
        <f t="shared" si="573"/>
        <v>0</v>
      </c>
      <c r="CR224" s="180">
        <f t="shared" si="574"/>
        <v>0</v>
      </c>
      <c r="CS224" s="273">
        <f>CN224-39090.6-CP224-CQ224-CR224</f>
        <v>0</v>
      </c>
      <c r="CT224" s="14"/>
    </row>
    <row r="225" spans="1:98" x14ac:dyDescent="0.3">
      <c r="A225" s="363" t="s">
        <v>458</v>
      </c>
      <c r="B225" s="824" t="s">
        <v>459</v>
      </c>
      <c r="C225" s="824"/>
      <c r="D225" s="824"/>
      <c r="E225" s="824"/>
      <c r="F225" s="824"/>
      <c r="G225" s="824"/>
      <c r="H225" s="824"/>
      <c r="I225" s="824"/>
      <c r="J225" s="824"/>
      <c r="K225" s="824"/>
      <c r="L225" s="824"/>
      <c r="M225" s="824"/>
      <c r="N225" s="824"/>
      <c r="O225" s="824"/>
      <c r="P225" s="824"/>
      <c r="Q225" s="824"/>
      <c r="R225" s="824"/>
      <c r="S225" s="824"/>
      <c r="T225" s="824"/>
      <c r="U225" s="824"/>
      <c r="V225" s="824"/>
      <c r="W225" s="824"/>
      <c r="X225" s="824"/>
      <c r="Y225" s="824"/>
      <c r="Z225" s="824"/>
      <c r="AA225" s="824"/>
      <c r="AB225" s="824"/>
      <c r="AC225" s="824"/>
      <c r="AD225" s="824"/>
      <c r="AE225" s="824"/>
      <c r="AF225" s="824"/>
      <c r="AG225" s="824"/>
      <c r="AH225" s="824"/>
      <c r="AI225" s="824"/>
      <c r="AJ225" s="824"/>
      <c r="AK225" s="824"/>
      <c r="AL225" s="824"/>
      <c r="AM225" s="824"/>
      <c r="AN225" s="824"/>
      <c r="AO225" s="824"/>
      <c r="AP225" s="824"/>
      <c r="AQ225" s="824"/>
      <c r="AR225" s="824"/>
      <c r="AS225" s="824"/>
      <c r="AT225" s="824"/>
      <c r="AU225" s="824"/>
      <c r="AV225" s="824"/>
      <c r="AW225" s="824"/>
      <c r="AX225" s="824"/>
      <c r="AY225" s="824"/>
      <c r="AZ225" s="824"/>
      <c r="BA225" s="824"/>
      <c r="BB225" s="824"/>
      <c r="BC225" s="824"/>
      <c r="BD225" s="824"/>
      <c r="BE225" s="824"/>
      <c r="BF225" s="824"/>
      <c r="BG225" s="824"/>
      <c r="BH225" s="824"/>
      <c r="BI225" s="824"/>
      <c r="BJ225" s="824"/>
      <c r="BK225" s="824"/>
      <c r="BL225" s="824"/>
      <c r="BM225" s="824"/>
      <c r="BN225" s="824"/>
      <c r="BO225" s="824"/>
      <c r="BP225" s="824"/>
      <c r="BQ225" s="824"/>
      <c r="BR225" s="824"/>
      <c r="BS225" s="824"/>
      <c r="BT225" s="824"/>
      <c r="BU225" s="824"/>
      <c r="BV225" s="824"/>
      <c r="BW225" s="824"/>
      <c r="BX225" s="824"/>
      <c r="BY225" s="824"/>
      <c r="BZ225" s="824"/>
      <c r="CA225" s="824"/>
      <c r="CB225" s="824"/>
      <c r="CC225" s="824"/>
      <c r="CD225" s="824"/>
      <c r="CE225" s="824"/>
      <c r="CF225" s="824"/>
      <c r="CG225" s="824"/>
      <c r="CH225" s="824"/>
      <c r="CI225" s="824"/>
      <c r="CJ225" s="824"/>
      <c r="CK225" s="824"/>
      <c r="CL225" s="824"/>
      <c r="CM225" s="824"/>
      <c r="CN225" s="56">
        <f>CN226+CN246+CN263+CN276</f>
        <v>69616366.599999994</v>
      </c>
      <c r="CO225" s="56">
        <f t="shared" ref="CO225:CS225" si="579">CO226+CO246+CO263+CO276</f>
        <v>1745311.8999999997</v>
      </c>
      <c r="CP225" s="56">
        <f t="shared" si="579"/>
        <v>1750135.5</v>
      </c>
      <c r="CQ225" s="56">
        <f t="shared" si="579"/>
        <v>37852.9</v>
      </c>
      <c r="CR225" s="56">
        <f t="shared" si="579"/>
        <v>21236837.5</v>
      </c>
      <c r="CS225" s="273">
        <f t="shared" si="579"/>
        <v>44846228.799999997</v>
      </c>
    </row>
    <row r="226" spans="1:98" x14ac:dyDescent="0.3">
      <c r="A226" s="362" t="s">
        <v>460</v>
      </c>
      <c r="B226" s="789" t="s">
        <v>461</v>
      </c>
      <c r="C226" s="789"/>
      <c r="D226" s="789"/>
      <c r="E226" s="789"/>
      <c r="F226" s="789"/>
      <c r="G226" s="789"/>
      <c r="H226" s="789"/>
      <c r="I226" s="789"/>
      <c r="J226" s="789"/>
      <c r="K226" s="789"/>
      <c r="L226" s="789"/>
      <c r="M226" s="789"/>
      <c r="N226" s="789"/>
      <c r="O226" s="789"/>
      <c r="P226" s="789"/>
      <c r="Q226" s="789"/>
      <c r="R226" s="789"/>
      <c r="S226" s="789"/>
      <c r="T226" s="789"/>
      <c r="U226" s="789"/>
      <c r="V226" s="789"/>
      <c r="W226" s="789"/>
      <c r="X226" s="789"/>
      <c r="Y226" s="789"/>
      <c r="Z226" s="789"/>
      <c r="AA226" s="789"/>
      <c r="AB226" s="789"/>
      <c r="AC226" s="789"/>
      <c r="AD226" s="789"/>
      <c r="AE226" s="789"/>
      <c r="AF226" s="789"/>
      <c r="AG226" s="789"/>
      <c r="AH226" s="789"/>
      <c r="AI226" s="789"/>
      <c r="AJ226" s="789"/>
      <c r="AK226" s="789"/>
      <c r="AL226" s="789"/>
      <c r="AM226" s="789"/>
      <c r="AN226" s="789"/>
      <c r="AO226" s="789"/>
      <c r="AP226" s="789"/>
      <c r="AQ226" s="789"/>
      <c r="AR226" s="789"/>
      <c r="AS226" s="789"/>
      <c r="AT226" s="789"/>
      <c r="AU226" s="789"/>
      <c r="AV226" s="789"/>
      <c r="AW226" s="789"/>
      <c r="AX226" s="789"/>
      <c r="AY226" s="789"/>
      <c r="AZ226" s="789"/>
      <c r="BA226" s="789"/>
      <c r="BB226" s="789"/>
      <c r="BC226" s="789"/>
      <c r="BD226" s="789"/>
      <c r="BE226" s="789"/>
      <c r="BF226" s="789"/>
      <c r="BG226" s="789"/>
      <c r="BH226" s="789"/>
      <c r="BI226" s="789"/>
      <c r="BJ226" s="789"/>
      <c r="BK226" s="789"/>
      <c r="BL226" s="789"/>
      <c r="BM226" s="789"/>
      <c r="BN226" s="789"/>
      <c r="BO226" s="789"/>
      <c r="BP226" s="789"/>
      <c r="BQ226" s="789"/>
      <c r="BR226" s="789"/>
      <c r="BS226" s="789"/>
      <c r="BT226" s="789"/>
      <c r="BU226" s="789"/>
      <c r="BV226" s="789"/>
      <c r="BW226" s="789"/>
      <c r="BX226" s="789"/>
      <c r="BY226" s="789"/>
      <c r="BZ226" s="789"/>
      <c r="CA226" s="789"/>
      <c r="CB226" s="789"/>
      <c r="CC226" s="789"/>
      <c r="CD226" s="789"/>
      <c r="CE226" s="789"/>
      <c r="CF226" s="789"/>
      <c r="CG226" s="789"/>
      <c r="CH226" s="789"/>
      <c r="CI226" s="789"/>
      <c r="CJ226" s="789"/>
      <c r="CK226" s="789"/>
      <c r="CL226" s="789"/>
      <c r="CM226" s="789"/>
      <c r="CN226" s="277">
        <f>CN227+CN228+CN229+CN230+CN231+CN233+CN234+CN235+CN237+CN238+CN239+CN240+CN241+CN242+CN243+CN244</f>
        <v>30139780.200000003</v>
      </c>
      <c r="CO226" s="277">
        <f t="shared" ref="CO226:CS226" si="580">CO227+CO228+CO229+CO230+CO231+CO233+CO234+CO235+CO237+CO238+CO239+CO240+CO241+CO242+CO243+CO244</f>
        <v>1419758.4</v>
      </c>
      <c r="CP226" s="277">
        <f t="shared" si="580"/>
        <v>1679638.2</v>
      </c>
      <c r="CQ226" s="277">
        <f t="shared" si="580"/>
        <v>0</v>
      </c>
      <c r="CR226" s="277">
        <f t="shared" si="580"/>
        <v>1998600.7999999998</v>
      </c>
      <c r="CS226" s="273">
        <f t="shared" si="580"/>
        <v>25041782.800000001</v>
      </c>
    </row>
    <row r="227" spans="1:98" s="4" customFormat="1" ht="120" customHeight="1" x14ac:dyDescent="0.35">
      <c r="A227" s="152" t="s">
        <v>462</v>
      </c>
      <c r="B227" s="189" t="s">
        <v>464</v>
      </c>
      <c r="C227" s="188" t="s">
        <v>1168</v>
      </c>
      <c r="D227" s="193" t="s">
        <v>28</v>
      </c>
      <c r="E227" s="193" t="s">
        <v>463</v>
      </c>
      <c r="F227" s="566" t="s">
        <v>1469</v>
      </c>
      <c r="G227" s="567" t="s">
        <v>1650</v>
      </c>
      <c r="H227" s="564">
        <v>24.35</v>
      </c>
      <c r="I227" s="564">
        <v>23.69</v>
      </c>
      <c r="J227" s="634">
        <v>23.69</v>
      </c>
      <c r="K227" s="564">
        <v>23.61</v>
      </c>
      <c r="L227" s="634">
        <v>23.69</v>
      </c>
      <c r="M227" s="657">
        <v>23.27</v>
      </c>
      <c r="N227" s="761" t="s">
        <v>1751</v>
      </c>
      <c r="O227" s="777"/>
      <c r="P227" s="550"/>
      <c r="Q227" s="871" t="s">
        <v>1172</v>
      </c>
      <c r="R227" s="871" t="s">
        <v>1173</v>
      </c>
      <c r="S227" s="871" t="s">
        <v>1174</v>
      </c>
      <c r="T227" s="871" t="s">
        <v>1175</v>
      </c>
      <c r="U227" s="871" t="s">
        <v>1176</v>
      </c>
      <c r="V227" s="871" t="s">
        <v>1177</v>
      </c>
      <c r="W227" s="871" t="s">
        <v>1178</v>
      </c>
      <c r="X227" s="871" t="s">
        <v>1179</v>
      </c>
      <c r="Y227" s="871" t="s">
        <v>1180</v>
      </c>
      <c r="Z227" s="871" t="s">
        <v>1415</v>
      </c>
      <c r="AA227" s="194">
        <f t="shared" ref="AA227" si="581">SUM(AB227:AE227)</f>
        <v>11015.4</v>
      </c>
      <c r="AB227" s="196"/>
      <c r="AC227" s="196"/>
      <c r="AD227" s="196"/>
      <c r="AE227" s="196">
        <v>11015.4</v>
      </c>
      <c r="AF227" s="194">
        <v>400000</v>
      </c>
      <c r="AG227" s="196"/>
      <c r="AH227" s="196"/>
      <c r="AI227" s="196"/>
      <c r="AJ227" s="196"/>
      <c r="AK227" s="194">
        <v>600000</v>
      </c>
      <c r="AL227" s="196"/>
      <c r="AM227" s="196"/>
      <c r="AN227" s="196"/>
      <c r="AO227" s="196"/>
      <c r="AP227" s="194"/>
      <c r="AQ227" s="196"/>
      <c r="AR227" s="196"/>
      <c r="AS227" s="196"/>
      <c r="AT227" s="196"/>
      <c r="AU227" s="194"/>
      <c r="AV227" s="196"/>
      <c r="AW227" s="196"/>
      <c r="AX227" s="196"/>
      <c r="AY227" s="196"/>
      <c r="AZ227" s="194"/>
      <c r="BA227" s="196"/>
      <c r="BB227" s="196"/>
      <c r="BC227" s="196"/>
      <c r="BD227" s="196"/>
      <c r="BE227" s="194"/>
      <c r="BF227" s="196"/>
      <c r="BG227" s="196"/>
      <c r="BH227" s="196"/>
      <c r="BI227" s="196"/>
      <c r="BJ227" s="194"/>
      <c r="BK227" s="196"/>
      <c r="BL227" s="196"/>
      <c r="BM227" s="196"/>
      <c r="BN227" s="196"/>
      <c r="BO227" s="194"/>
      <c r="BP227" s="196"/>
      <c r="BQ227" s="196"/>
      <c r="BR227" s="196"/>
      <c r="BS227" s="196"/>
      <c r="BT227" s="194"/>
      <c r="BU227" s="196"/>
      <c r="BV227" s="196"/>
      <c r="BW227" s="196"/>
      <c r="BX227" s="196"/>
      <c r="BY227" s="194"/>
      <c r="BZ227" s="196"/>
      <c r="CA227" s="196"/>
      <c r="CB227" s="196"/>
      <c r="CC227" s="196"/>
      <c r="CD227" s="194"/>
      <c r="CE227" s="196"/>
      <c r="CF227" s="196"/>
      <c r="CG227" s="196"/>
      <c r="CH227" s="196"/>
      <c r="CI227" s="181">
        <f t="shared" ref="CI227" si="582">AA227+AF227+AK227</f>
        <v>1011015.4</v>
      </c>
      <c r="CJ227" s="180">
        <f t="shared" ref="CJ227" si="583">AB227+AG227+AL227</f>
        <v>0</v>
      </c>
      <c r="CK227" s="180">
        <f t="shared" ref="CK227" si="584">AC227+AH227+AM227</f>
        <v>0</v>
      </c>
      <c r="CL227" s="180">
        <f t="shared" ref="CL227" si="585">AD227+AI227+AN227</f>
        <v>0</v>
      </c>
      <c r="CM227" s="180">
        <f t="shared" ref="CM227" si="586">AE227+AJ227+AO227</f>
        <v>11015.4</v>
      </c>
      <c r="CN227" s="181">
        <f t="shared" ref="CN227:CR231" si="587">AA227+AF227+AK227+AP227+AU227+AZ227+BE227+BJ227+BO227+BT227+BY227+CD227</f>
        <v>1011015.4</v>
      </c>
      <c r="CO227" s="180">
        <f t="shared" si="587"/>
        <v>0</v>
      </c>
      <c r="CP227" s="180">
        <f t="shared" si="587"/>
        <v>0</v>
      </c>
      <c r="CQ227" s="180">
        <f t="shared" si="587"/>
        <v>0</v>
      </c>
      <c r="CR227" s="180">
        <f t="shared" si="587"/>
        <v>11015.4</v>
      </c>
      <c r="CS227" s="273">
        <f>CN227-CO227-CP227-CQ227-CR227</f>
        <v>1000000</v>
      </c>
      <c r="CT227" s="14"/>
    </row>
    <row r="228" spans="1:98" s="4" customFormat="1" ht="124.5" customHeight="1" x14ac:dyDescent="0.3">
      <c r="A228" s="152" t="s">
        <v>472</v>
      </c>
      <c r="B228" s="189" t="s">
        <v>465</v>
      </c>
      <c r="C228" s="188" t="s">
        <v>869</v>
      </c>
      <c r="D228" s="193" t="s">
        <v>28</v>
      </c>
      <c r="E228" s="193" t="s">
        <v>463</v>
      </c>
      <c r="F228" s="334" t="s">
        <v>1470</v>
      </c>
      <c r="G228" s="353" t="s">
        <v>1471</v>
      </c>
      <c r="H228" s="527">
        <v>0.01</v>
      </c>
      <c r="I228" s="353"/>
      <c r="J228" s="634">
        <v>0.08</v>
      </c>
      <c r="K228" s="140">
        <v>0</v>
      </c>
      <c r="L228" s="634">
        <v>0.08</v>
      </c>
      <c r="M228" s="658">
        <v>0</v>
      </c>
      <c r="N228" s="788"/>
      <c r="O228" s="784"/>
      <c r="P228" s="552"/>
      <c r="Q228" s="872"/>
      <c r="R228" s="872"/>
      <c r="S228" s="872"/>
      <c r="T228" s="872"/>
      <c r="U228" s="872"/>
      <c r="V228" s="872"/>
      <c r="W228" s="872"/>
      <c r="X228" s="872"/>
      <c r="Y228" s="872"/>
      <c r="Z228" s="872"/>
      <c r="AA228" s="194"/>
      <c r="AB228" s="196"/>
      <c r="AC228" s="196"/>
      <c r="AD228" s="196"/>
      <c r="AE228" s="196"/>
      <c r="AF228" s="194"/>
      <c r="AG228" s="196"/>
      <c r="AH228" s="196"/>
      <c r="AI228" s="196"/>
      <c r="AJ228" s="196"/>
      <c r="AK228" s="194"/>
      <c r="AL228" s="196"/>
      <c r="AM228" s="196"/>
      <c r="AN228" s="196"/>
      <c r="AO228" s="196"/>
      <c r="AP228" s="194">
        <v>1000000</v>
      </c>
      <c r="AQ228" s="196"/>
      <c r="AR228" s="196"/>
      <c r="AS228" s="196"/>
      <c r="AT228" s="196"/>
      <c r="AU228" s="194">
        <v>1000000</v>
      </c>
      <c r="AV228" s="196"/>
      <c r="AW228" s="196"/>
      <c r="AX228" s="196"/>
      <c r="AY228" s="196"/>
      <c r="AZ228" s="194">
        <v>1000000</v>
      </c>
      <c r="BA228" s="196"/>
      <c r="BB228" s="196"/>
      <c r="BC228" s="196"/>
      <c r="BD228" s="196"/>
      <c r="BE228" s="194">
        <v>1000000</v>
      </c>
      <c r="BF228" s="196"/>
      <c r="BG228" s="196"/>
      <c r="BH228" s="196"/>
      <c r="BI228" s="196"/>
      <c r="BJ228" s="194">
        <v>1000000</v>
      </c>
      <c r="BK228" s="196"/>
      <c r="BL228" s="196"/>
      <c r="BM228" s="196"/>
      <c r="BN228" s="196"/>
      <c r="BO228" s="194">
        <v>1000000</v>
      </c>
      <c r="BP228" s="196"/>
      <c r="BQ228" s="196"/>
      <c r="BR228" s="196"/>
      <c r="BS228" s="196"/>
      <c r="BT228" s="194">
        <v>1000000</v>
      </c>
      <c r="BU228" s="196"/>
      <c r="BV228" s="196"/>
      <c r="BW228" s="196"/>
      <c r="BX228" s="196"/>
      <c r="BY228" s="194">
        <v>1000000</v>
      </c>
      <c r="BZ228" s="196"/>
      <c r="CA228" s="196"/>
      <c r="CB228" s="196"/>
      <c r="CC228" s="196"/>
      <c r="CD228" s="194">
        <v>1000000</v>
      </c>
      <c r="CE228" s="196"/>
      <c r="CF228" s="196"/>
      <c r="CG228" s="196"/>
      <c r="CH228" s="196"/>
      <c r="CI228" s="181">
        <f t="shared" ref="CI228:CI234" si="588">AA228+AF228+AK228</f>
        <v>0</v>
      </c>
      <c r="CJ228" s="180">
        <f t="shared" ref="CJ228:CJ234" si="589">AB228+AG228+AL228</f>
        <v>0</v>
      </c>
      <c r="CK228" s="180">
        <f t="shared" ref="CK228:CK234" si="590">AC228+AH228+AM228</f>
        <v>0</v>
      </c>
      <c r="CL228" s="180">
        <f t="shared" ref="CL228:CL234" si="591">AD228+AI228+AN228</f>
        <v>0</v>
      </c>
      <c r="CM228" s="180">
        <f t="shared" ref="CM228:CM234" si="592">AE228+AJ228+AO228</f>
        <v>0</v>
      </c>
      <c r="CN228" s="181">
        <f t="shared" si="587"/>
        <v>9000000</v>
      </c>
      <c r="CO228" s="180">
        <f t="shared" si="587"/>
        <v>0</v>
      </c>
      <c r="CP228" s="180">
        <f t="shared" si="587"/>
        <v>0</v>
      </c>
      <c r="CQ228" s="180">
        <f t="shared" si="587"/>
        <v>0</v>
      </c>
      <c r="CR228" s="180">
        <f t="shared" si="587"/>
        <v>0</v>
      </c>
      <c r="CS228" s="273">
        <f t="shared" ref="CS228:CS229" si="593">CN228-CO228-CP228-CQ228-CR228</f>
        <v>9000000</v>
      </c>
      <c r="CT228" s="14"/>
    </row>
    <row r="229" spans="1:98" s="4" customFormat="1" ht="96" x14ac:dyDescent="0.3">
      <c r="A229" s="152" t="s">
        <v>473</v>
      </c>
      <c r="B229" s="170" t="s">
        <v>466</v>
      </c>
      <c r="C229" s="170" t="s">
        <v>467</v>
      </c>
      <c r="D229" s="193" t="s">
        <v>468</v>
      </c>
      <c r="E229" s="193" t="s">
        <v>469</v>
      </c>
      <c r="F229" s="868" t="s">
        <v>1752</v>
      </c>
      <c r="G229" s="759" t="s">
        <v>62</v>
      </c>
      <c r="H229" s="744">
        <v>100</v>
      </c>
      <c r="I229" s="353"/>
      <c r="J229" s="744">
        <v>100</v>
      </c>
      <c r="K229" s="744">
        <v>100</v>
      </c>
      <c r="L229" s="744">
        <v>100</v>
      </c>
      <c r="M229" s="746">
        <v>100</v>
      </c>
      <c r="N229" s="788"/>
      <c r="O229" s="616"/>
      <c r="P229" s="552"/>
      <c r="Q229" s="872"/>
      <c r="R229" s="872"/>
      <c r="S229" s="872"/>
      <c r="T229" s="872"/>
      <c r="U229" s="872"/>
      <c r="V229" s="872"/>
      <c r="W229" s="872"/>
      <c r="X229" s="872"/>
      <c r="Y229" s="872"/>
      <c r="Z229" s="872"/>
      <c r="AA229" s="194"/>
      <c r="AB229" s="196"/>
      <c r="AC229" s="196"/>
      <c r="AD229" s="196"/>
      <c r="AE229" s="196"/>
      <c r="AF229" s="194"/>
      <c r="AG229" s="196"/>
      <c r="AH229" s="196"/>
      <c r="AI229" s="196"/>
      <c r="AJ229" s="196"/>
      <c r="AK229" s="194"/>
      <c r="AL229" s="196"/>
      <c r="AM229" s="196"/>
      <c r="AN229" s="196"/>
      <c r="AO229" s="196"/>
      <c r="AP229" s="194"/>
      <c r="AQ229" s="196"/>
      <c r="AR229" s="196"/>
      <c r="AS229" s="196"/>
      <c r="AT229" s="196"/>
      <c r="AU229" s="194"/>
      <c r="AV229" s="196"/>
      <c r="AW229" s="196"/>
      <c r="AX229" s="196"/>
      <c r="AY229" s="196"/>
      <c r="AZ229" s="194"/>
      <c r="BA229" s="196"/>
      <c r="BB229" s="196"/>
      <c r="BC229" s="196"/>
      <c r="BD229" s="196"/>
      <c r="BE229" s="194"/>
      <c r="BF229" s="196"/>
      <c r="BG229" s="196"/>
      <c r="BH229" s="196"/>
      <c r="BI229" s="196"/>
      <c r="BJ229" s="194"/>
      <c r="BK229" s="196"/>
      <c r="BL229" s="196"/>
      <c r="BM229" s="196"/>
      <c r="BN229" s="196"/>
      <c r="BO229" s="194"/>
      <c r="BP229" s="196"/>
      <c r="BQ229" s="196"/>
      <c r="BR229" s="196"/>
      <c r="BS229" s="196"/>
      <c r="BT229" s="194"/>
      <c r="BU229" s="196"/>
      <c r="BV229" s="196"/>
      <c r="BW229" s="196"/>
      <c r="BX229" s="196"/>
      <c r="BY229" s="194"/>
      <c r="BZ229" s="196"/>
      <c r="CA229" s="196"/>
      <c r="CB229" s="196"/>
      <c r="CC229" s="196"/>
      <c r="CD229" s="194"/>
      <c r="CE229" s="196"/>
      <c r="CF229" s="196"/>
      <c r="CG229" s="196"/>
      <c r="CH229" s="196"/>
      <c r="CI229" s="181">
        <f t="shared" si="588"/>
        <v>0</v>
      </c>
      <c r="CJ229" s="180">
        <f t="shared" si="589"/>
        <v>0</v>
      </c>
      <c r="CK229" s="180">
        <f t="shared" si="590"/>
        <v>0</v>
      </c>
      <c r="CL229" s="180">
        <f t="shared" si="591"/>
        <v>0</v>
      </c>
      <c r="CM229" s="180">
        <f t="shared" si="592"/>
        <v>0</v>
      </c>
      <c r="CN229" s="181">
        <f t="shared" si="587"/>
        <v>0</v>
      </c>
      <c r="CO229" s="180">
        <f t="shared" si="587"/>
        <v>0</v>
      </c>
      <c r="CP229" s="180">
        <f t="shared" si="587"/>
        <v>0</v>
      </c>
      <c r="CQ229" s="180">
        <f t="shared" si="587"/>
        <v>0</v>
      </c>
      <c r="CR229" s="180">
        <f t="shared" si="587"/>
        <v>0</v>
      </c>
      <c r="CS229" s="273">
        <f t="shared" si="593"/>
        <v>0</v>
      </c>
      <c r="CT229" s="14"/>
    </row>
    <row r="230" spans="1:98" s="4" customFormat="1" ht="96" x14ac:dyDescent="0.3">
      <c r="A230" s="152" t="s">
        <v>476</v>
      </c>
      <c r="B230" s="170" t="s">
        <v>470</v>
      </c>
      <c r="C230" s="170" t="s">
        <v>471</v>
      </c>
      <c r="D230" s="193" t="s">
        <v>468</v>
      </c>
      <c r="E230" s="193" t="s">
        <v>469</v>
      </c>
      <c r="F230" s="818"/>
      <c r="G230" s="759"/>
      <c r="H230" s="745"/>
      <c r="I230" s="353"/>
      <c r="J230" s="745"/>
      <c r="K230" s="745"/>
      <c r="L230" s="745"/>
      <c r="M230" s="747"/>
      <c r="N230" s="762"/>
      <c r="O230" s="616"/>
      <c r="P230" s="551"/>
      <c r="Q230" s="873"/>
      <c r="R230" s="873"/>
      <c r="S230" s="873"/>
      <c r="T230" s="873"/>
      <c r="U230" s="873"/>
      <c r="V230" s="873"/>
      <c r="W230" s="873"/>
      <c r="X230" s="873"/>
      <c r="Y230" s="873"/>
      <c r="Z230" s="873"/>
      <c r="AA230" s="194"/>
      <c r="AB230" s="196"/>
      <c r="AC230" s="196"/>
      <c r="AD230" s="196"/>
      <c r="AE230" s="196"/>
      <c r="AF230" s="194"/>
      <c r="AG230" s="196"/>
      <c r="AH230" s="196"/>
      <c r="AI230" s="196"/>
      <c r="AJ230" s="196"/>
      <c r="AK230" s="194"/>
      <c r="AL230" s="196"/>
      <c r="AM230" s="196"/>
      <c r="AN230" s="196"/>
      <c r="AO230" s="196"/>
      <c r="AP230" s="194"/>
      <c r="AQ230" s="196"/>
      <c r="AR230" s="196"/>
      <c r="AS230" s="196"/>
      <c r="AT230" s="196"/>
      <c r="AU230" s="194"/>
      <c r="AV230" s="196"/>
      <c r="AW230" s="196"/>
      <c r="AX230" s="196"/>
      <c r="AY230" s="196"/>
      <c r="AZ230" s="194"/>
      <c r="BA230" s="196"/>
      <c r="BB230" s="196"/>
      <c r="BC230" s="196"/>
      <c r="BD230" s="196"/>
      <c r="BE230" s="194"/>
      <c r="BF230" s="196"/>
      <c r="BG230" s="196"/>
      <c r="BH230" s="196"/>
      <c r="BI230" s="196"/>
      <c r="BJ230" s="194"/>
      <c r="BK230" s="196"/>
      <c r="BL230" s="196"/>
      <c r="BM230" s="196"/>
      <c r="BN230" s="196"/>
      <c r="BO230" s="194"/>
      <c r="BP230" s="196"/>
      <c r="BQ230" s="196"/>
      <c r="BR230" s="196"/>
      <c r="BS230" s="196"/>
      <c r="BT230" s="194"/>
      <c r="BU230" s="196"/>
      <c r="BV230" s="196"/>
      <c r="BW230" s="196"/>
      <c r="BX230" s="196"/>
      <c r="BY230" s="194"/>
      <c r="BZ230" s="196"/>
      <c r="CA230" s="196"/>
      <c r="CB230" s="196"/>
      <c r="CC230" s="196"/>
      <c r="CD230" s="194"/>
      <c r="CE230" s="196"/>
      <c r="CF230" s="196"/>
      <c r="CG230" s="196"/>
      <c r="CH230" s="196"/>
      <c r="CI230" s="181">
        <f t="shared" si="588"/>
        <v>0</v>
      </c>
      <c r="CJ230" s="180">
        <f t="shared" si="589"/>
        <v>0</v>
      </c>
      <c r="CK230" s="180">
        <f t="shared" si="590"/>
        <v>0</v>
      </c>
      <c r="CL230" s="180">
        <f t="shared" si="591"/>
        <v>0</v>
      </c>
      <c r="CM230" s="180">
        <f t="shared" si="592"/>
        <v>0</v>
      </c>
      <c r="CN230" s="181">
        <f t="shared" si="587"/>
        <v>0</v>
      </c>
      <c r="CO230" s="180">
        <f t="shared" si="587"/>
        <v>0</v>
      </c>
      <c r="CP230" s="180">
        <f t="shared" si="587"/>
        <v>0</v>
      </c>
      <c r="CQ230" s="180">
        <f t="shared" si="587"/>
        <v>0</v>
      </c>
      <c r="CR230" s="180">
        <f t="shared" si="587"/>
        <v>0</v>
      </c>
      <c r="CS230" s="273">
        <f>CN230-CO230-CP230-CQ230-CR230</f>
        <v>0</v>
      </c>
      <c r="CT230" s="14"/>
    </row>
    <row r="231" spans="1:98" s="4" customFormat="1" ht="75" customHeight="1" x14ac:dyDescent="0.3">
      <c r="A231" s="844" t="s">
        <v>491</v>
      </c>
      <c r="B231" s="839" t="s">
        <v>474</v>
      </c>
      <c r="C231" s="859" t="s">
        <v>1036</v>
      </c>
      <c r="D231" s="728" t="s">
        <v>1146</v>
      </c>
      <c r="E231" s="714" t="s">
        <v>483</v>
      </c>
      <c r="F231" s="334" t="s">
        <v>475</v>
      </c>
      <c r="G231" s="353" t="s">
        <v>342</v>
      </c>
      <c r="H231" s="528"/>
      <c r="I231" s="350"/>
      <c r="J231" s="630"/>
      <c r="K231" s="350"/>
      <c r="L231" s="630"/>
      <c r="M231" s="702"/>
      <c r="N231" s="599"/>
      <c r="O231" s="518"/>
      <c r="P231" s="518"/>
      <c r="Q231" s="350"/>
      <c r="R231" s="350"/>
      <c r="S231" s="350">
        <v>1</v>
      </c>
      <c r="T231" s="350"/>
      <c r="U231" s="350"/>
      <c r="V231" s="350"/>
      <c r="W231" s="350"/>
      <c r="X231" s="350"/>
      <c r="Y231" s="350"/>
      <c r="Z231" s="350"/>
      <c r="AA231" s="782"/>
      <c r="AB231" s="780"/>
      <c r="AC231" s="780"/>
      <c r="AD231" s="780"/>
      <c r="AE231" s="780"/>
      <c r="AF231" s="782"/>
      <c r="AG231" s="780"/>
      <c r="AH231" s="780"/>
      <c r="AI231" s="780"/>
      <c r="AJ231" s="780"/>
      <c r="AK231" s="782"/>
      <c r="AL231" s="780"/>
      <c r="AM231" s="780"/>
      <c r="AN231" s="780"/>
      <c r="AO231" s="780"/>
      <c r="AP231" s="782"/>
      <c r="AQ231" s="780"/>
      <c r="AR231" s="780"/>
      <c r="AS231" s="780"/>
      <c r="AT231" s="780"/>
      <c r="AU231" s="782">
        <v>30000</v>
      </c>
      <c r="AV231" s="780"/>
      <c r="AW231" s="780"/>
      <c r="AX231" s="780"/>
      <c r="AY231" s="780"/>
      <c r="AZ231" s="782">
        <v>40000</v>
      </c>
      <c r="BA231" s="780"/>
      <c r="BB231" s="780"/>
      <c r="BC231" s="780"/>
      <c r="BD231" s="780"/>
      <c r="BE231" s="782">
        <v>10000</v>
      </c>
      <c r="BF231" s="780"/>
      <c r="BG231" s="780"/>
      <c r="BH231" s="780"/>
      <c r="BI231" s="780"/>
      <c r="BJ231" s="782">
        <v>10000</v>
      </c>
      <c r="BK231" s="780"/>
      <c r="BL231" s="780"/>
      <c r="BM231" s="780"/>
      <c r="BN231" s="780"/>
      <c r="BO231" s="782">
        <v>10000</v>
      </c>
      <c r="BP231" s="780"/>
      <c r="BQ231" s="780"/>
      <c r="BR231" s="780"/>
      <c r="BS231" s="780"/>
      <c r="BT231" s="782">
        <v>10000</v>
      </c>
      <c r="BU231" s="780"/>
      <c r="BV231" s="780"/>
      <c r="BW231" s="780"/>
      <c r="BX231" s="780"/>
      <c r="BY231" s="782">
        <v>10000</v>
      </c>
      <c r="BZ231" s="780"/>
      <c r="CA231" s="780"/>
      <c r="CB231" s="780"/>
      <c r="CC231" s="780"/>
      <c r="CD231" s="782">
        <v>10000</v>
      </c>
      <c r="CE231" s="780"/>
      <c r="CF231" s="780"/>
      <c r="CG231" s="780"/>
      <c r="CH231" s="780"/>
      <c r="CI231" s="773">
        <f t="shared" si="588"/>
        <v>0</v>
      </c>
      <c r="CJ231" s="791">
        <f t="shared" si="589"/>
        <v>0</v>
      </c>
      <c r="CK231" s="791">
        <f t="shared" si="590"/>
        <v>0</v>
      </c>
      <c r="CL231" s="791">
        <f t="shared" si="591"/>
        <v>0</v>
      </c>
      <c r="CM231" s="791">
        <f t="shared" si="592"/>
        <v>0</v>
      </c>
      <c r="CN231" s="773">
        <f t="shared" si="587"/>
        <v>130000</v>
      </c>
      <c r="CO231" s="791">
        <f t="shared" si="587"/>
        <v>0</v>
      </c>
      <c r="CP231" s="791">
        <f t="shared" si="587"/>
        <v>0</v>
      </c>
      <c r="CQ231" s="791">
        <f t="shared" si="587"/>
        <v>0</v>
      </c>
      <c r="CR231" s="791">
        <f t="shared" si="587"/>
        <v>0</v>
      </c>
      <c r="CS231" s="773">
        <f>CN231-CO231-CP231-CQ231-CR231</f>
        <v>130000</v>
      </c>
      <c r="CT231" s="14"/>
    </row>
    <row r="232" spans="1:98" s="4" customFormat="1" ht="85.5" customHeight="1" x14ac:dyDescent="0.3">
      <c r="A232" s="845"/>
      <c r="B232" s="840"/>
      <c r="C232" s="861"/>
      <c r="D232" s="729"/>
      <c r="E232" s="715"/>
      <c r="F232" s="334" t="s">
        <v>480</v>
      </c>
      <c r="G232" s="378" t="s">
        <v>342</v>
      </c>
      <c r="H232" s="532"/>
      <c r="I232" s="80"/>
      <c r="J232" s="639"/>
      <c r="K232" s="378"/>
      <c r="L232" s="639"/>
      <c r="M232" s="654"/>
      <c r="N232" s="594"/>
      <c r="O232" s="98"/>
      <c r="P232" s="98"/>
      <c r="Q232" s="378"/>
      <c r="R232" s="378"/>
      <c r="S232" s="378">
        <v>33</v>
      </c>
      <c r="T232" s="378">
        <v>33</v>
      </c>
      <c r="U232" s="378">
        <v>33</v>
      </c>
      <c r="V232" s="378">
        <v>33</v>
      </c>
      <c r="W232" s="378">
        <v>33</v>
      </c>
      <c r="X232" s="378">
        <v>33</v>
      </c>
      <c r="Y232" s="378">
        <v>33</v>
      </c>
      <c r="Z232" s="378">
        <v>33</v>
      </c>
      <c r="AA232" s="783"/>
      <c r="AB232" s="781"/>
      <c r="AC232" s="781"/>
      <c r="AD232" s="781"/>
      <c r="AE232" s="781"/>
      <c r="AF232" s="783"/>
      <c r="AG232" s="781"/>
      <c r="AH232" s="781"/>
      <c r="AI232" s="781"/>
      <c r="AJ232" s="781"/>
      <c r="AK232" s="783"/>
      <c r="AL232" s="781"/>
      <c r="AM232" s="781"/>
      <c r="AN232" s="781"/>
      <c r="AO232" s="781"/>
      <c r="AP232" s="783"/>
      <c r="AQ232" s="781"/>
      <c r="AR232" s="781"/>
      <c r="AS232" s="781"/>
      <c r="AT232" s="781"/>
      <c r="AU232" s="783"/>
      <c r="AV232" s="781"/>
      <c r="AW232" s="781"/>
      <c r="AX232" s="781"/>
      <c r="AY232" s="781"/>
      <c r="AZ232" s="783"/>
      <c r="BA232" s="781"/>
      <c r="BB232" s="781"/>
      <c r="BC232" s="781"/>
      <c r="BD232" s="781"/>
      <c r="BE232" s="783"/>
      <c r="BF232" s="781"/>
      <c r="BG232" s="781"/>
      <c r="BH232" s="781"/>
      <c r="BI232" s="781"/>
      <c r="BJ232" s="783"/>
      <c r="BK232" s="781"/>
      <c r="BL232" s="781"/>
      <c r="BM232" s="781"/>
      <c r="BN232" s="781"/>
      <c r="BO232" s="783"/>
      <c r="BP232" s="781"/>
      <c r="BQ232" s="781"/>
      <c r="BR232" s="781"/>
      <c r="BS232" s="781"/>
      <c r="BT232" s="783"/>
      <c r="BU232" s="781"/>
      <c r="BV232" s="781"/>
      <c r="BW232" s="781"/>
      <c r="BX232" s="781"/>
      <c r="BY232" s="783"/>
      <c r="BZ232" s="781"/>
      <c r="CA232" s="781"/>
      <c r="CB232" s="781"/>
      <c r="CC232" s="781"/>
      <c r="CD232" s="783"/>
      <c r="CE232" s="781"/>
      <c r="CF232" s="781"/>
      <c r="CG232" s="781"/>
      <c r="CH232" s="781"/>
      <c r="CI232" s="774"/>
      <c r="CJ232" s="792"/>
      <c r="CK232" s="792"/>
      <c r="CL232" s="792"/>
      <c r="CM232" s="792"/>
      <c r="CN232" s="774"/>
      <c r="CO232" s="792"/>
      <c r="CP232" s="792"/>
      <c r="CQ232" s="792"/>
      <c r="CR232" s="792"/>
      <c r="CS232" s="774"/>
      <c r="CT232" s="14"/>
    </row>
    <row r="233" spans="1:98" s="4" customFormat="1" ht="130.5" customHeight="1" x14ac:dyDescent="0.3">
      <c r="A233" s="152" t="s">
        <v>492</v>
      </c>
      <c r="B233" s="176" t="s">
        <v>477</v>
      </c>
      <c r="C233" s="188" t="s">
        <v>1331</v>
      </c>
      <c r="D233" s="187" t="s">
        <v>1146</v>
      </c>
      <c r="E233" s="193" t="s">
        <v>1214</v>
      </c>
      <c r="F233" s="192" t="s">
        <v>478</v>
      </c>
      <c r="G233" s="187" t="s">
        <v>479</v>
      </c>
      <c r="H233" s="533">
        <v>860</v>
      </c>
      <c r="I233" s="187">
        <v>88</v>
      </c>
      <c r="J233" s="637">
        <v>103</v>
      </c>
      <c r="K233" s="521">
        <v>49</v>
      </c>
      <c r="L233" s="637">
        <v>45</v>
      </c>
      <c r="M233" s="643">
        <v>41</v>
      </c>
      <c r="N233" s="598" t="s">
        <v>1556</v>
      </c>
      <c r="O233" s="617" t="s">
        <v>1670</v>
      </c>
      <c r="P233" s="542"/>
      <c r="Q233" s="187">
        <v>45</v>
      </c>
      <c r="R233" s="187">
        <v>45</v>
      </c>
      <c r="S233" s="187">
        <v>45</v>
      </c>
      <c r="T233" s="187">
        <v>45</v>
      </c>
      <c r="U233" s="187">
        <v>45</v>
      </c>
      <c r="V233" s="187">
        <v>45</v>
      </c>
      <c r="W233" s="187">
        <v>45</v>
      </c>
      <c r="X233" s="187">
        <v>45</v>
      </c>
      <c r="Y233" s="187">
        <v>45</v>
      </c>
      <c r="Z233" s="187">
        <v>45</v>
      </c>
      <c r="AA233" s="194">
        <f>SUM(AB233:AE233)</f>
        <v>441968.6</v>
      </c>
      <c r="AB233" s="196">
        <v>441.5</v>
      </c>
      <c r="AC233" s="196">
        <v>441527.1</v>
      </c>
      <c r="AD233" s="196"/>
      <c r="AE233" s="196"/>
      <c r="AF233" s="194">
        <f>SUM(AG233:AJ233)</f>
        <v>638994</v>
      </c>
      <c r="AG233" s="196">
        <v>638.4</v>
      </c>
      <c r="AH233" s="196">
        <v>638355.6</v>
      </c>
      <c r="AI233" s="196"/>
      <c r="AJ233" s="196"/>
      <c r="AK233" s="194">
        <f>SUM(AL233:AO233)</f>
        <v>279172.09999999998</v>
      </c>
      <c r="AL233" s="196">
        <v>279.10000000000002</v>
      </c>
      <c r="AM233" s="196">
        <v>278893</v>
      </c>
      <c r="AN233" s="196"/>
      <c r="AO233" s="196"/>
      <c r="AP233" s="194">
        <v>279172.09999999998</v>
      </c>
      <c r="AQ233" s="196"/>
      <c r="AR233" s="196"/>
      <c r="AS233" s="196"/>
      <c r="AT233" s="196"/>
      <c r="AU233" s="194">
        <v>279172.09999999998</v>
      </c>
      <c r="AV233" s="196"/>
      <c r="AW233" s="196"/>
      <c r="AX233" s="196"/>
      <c r="AY233" s="196"/>
      <c r="AZ233" s="194">
        <v>279172.09999999998</v>
      </c>
      <c r="BA233" s="196"/>
      <c r="BB233" s="196"/>
      <c r="BC233" s="196"/>
      <c r="BD233" s="196"/>
      <c r="BE233" s="194">
        <v>279172.09999999998</v>
      </c>
      <c r="BF233" s="196"/>
      <c r="BG233" s="196"/>
      <c r="BH233" s="196"/>
      <c r="BI233" s="196"/>
      <c r="BJ233" s="194">
        <v>279172.09999999998</v>
      </c>
      <c r="BK233" s="196"/>
      <c r="BL233" s="196"/>
      <c r="BM233" s="196"/>
      <c r="BN233" s="196"/>
      <c r="BO233" s="194">
        <v>279172.09999999998</v>
      </c>
      <c r="BP233" s="196"/>
      <c r="BQ233" s="196"/>
      <c r="BR233" s="196"/>
      <c r="BS233" s="196"/>
      <c r="BT233" s="194">
        <v>279172.09999999998</v>
      </c>
      <c r="BU233" s="196"/>
      <c r="BV233" s="196"/>
      <c r="BW233" s="196"/>
      <c r="BX233" s="196"/>
      <c r="BY233" s="194">
        <v>279172.09999999998</v>
      </c>
      <c r="BZ233" s="196"/>
      <c r="CA233" s="196"/>
      <c r="CB233" s="196"/>
      <c r="CC233" s="196"/>
      <c r="CD233" s="194">
        <v>279172.09999999998</v>
      </c>
      <c r="CE233" s="196"/>
      <c r="CF233" s="196"/>
      <c r="CG233" s="196"/>
      <c r="CH233" s="196"/>
      <c r="CI233" s="181">
        <f t="shared" si="588"/>
        <v>1360134.7000000002</v>
      </c>
      <c r="CJ233" s="180">
        <f t="shared" si="589"/>
        <v>1359</v>
      </c>
      <c r="CK233" s="180">
        <f t="shared" si="590"/>
        <v>1358775.7</v>
      </c>
      <c r="CL233" s="180">
        <f t="shared" si="591"/>
        <v>0</v>
      </c>
      <c r="CM233" s="180">
        <f t="shared" si="592"/>
        <v>0</v>
      </c>
      <c r="CN233" s="181">
        <f t="shared" ref="CN233:CR235" si="594">AA233+AF233+AK233+AP233+AU233+AZ233+BE233+BJ233+BO233+BT233+BY233+CD233</f>
        <v>3872683.600000001</v>
      </c>
      <c r="CO233" s="180">
        <f t="shared" si="594"/>
        <v>1359</v>
      </c>
      <c r="CP233" s="180">
        <f t="shared" si="594"/>
        <v>1358775.7</v>
      </c>
      <c r="CQ233" s="180">
        <f t="shared" si="594"/>
        <v>0</v>
      </c>
      <c r="CR233" s="180">
        <f t="shared" si="594"/>
        <v>0</v>
      </c>
      <c r="CS233" s="273">
        <f>CN233-CO233-CP233-CQ233-CR233</f>
        <v>2512548.9000000013</v>
      </c>
      <c r="CT233" s="14"/>
    </row>
    <row r="234" spans="1:98" s="4" customFormat="1" ht="96" x14ac:dyDescent="0.3">
      <c r="A234" s="349" t="s">
        <v>1101</v>
      </c>
      <c r="B234" s="356" t="s">
        <v>481</v>
      </c>
      <c r="C234" s="356" t="s">
        <v>1332</v>
      </c>
      <c r="D234" s="357" t="s">
        <v>482</v>
      </c>
      <c r="E234" s="357" t="s">
        <v>483</v>
      </c>
      <c r="F234" s="334" t="s">
        <v>484</v>
      </c>
      <c r="G234" s="357" t="s">
        <v>485</v>
      </c>
      <c r="H234" s="533">
        <v>296</v>
      </c>
      <c r="I234" s="209"/>
      <c r="J234" s="209"/>
      <c r="K234" s="209"/>
      <c r="L234" s="209"/>
      <c r="M234" s="663"/>
      <c r="N234" s="605"/>
      <c r="O234" s="448"/>
      <c r="P234" s="448"/>
      <c r="Q234" s="209"/>
      <c r="R234" s="209"/>
      <c r="S234" s="357">
        <v>40</v>
      </c>
      <c r="T234" s="357">
        <v>32</v>
      </c>
      <c r="U234" s="357">
        <v>19</v>
      </c>
      <c r="V234" s="357">
        <v>32</v>
      </c>
      <c r="W234" s="357">
        <v>20</v>
      </c>
      <c r="X234" s="357">
        <v>50</v>
      </c>
      <c r="Y234" s="357">
        <v>50</v>
      </c>
      <c r="Z234" s="357">
        <v>53</v>
      </c>
      <c r="AA234" s="345"/>
      <c r="AB234" s="344"/>
      <c r="AC234" s="344"/>
      <c r="AD234" s="344"/>
      <c r="AE234" s="344"/>
      <c r="AF234" s="345"/>
      <c r="AG234" s="344"/>
      <c r="AH234" s="344"/>
      <c r="AI234" s="344"/>
      <c r="AJ234" s="344"/>
      <c r="AK234" s="345"/>
      <c r="AL234" s="344"/>
      <c r="AM234" s="344"/>
      <c r="AN234" s="344"/>
      <c r="AO234" s="344"/>
      <c r="AP234" s="345"/>
      <c r="AQ234" s="344"/>
      <c r="AR234" s="344"/>
      <c r="AS234" s="344"/>
      <c r="AT234" s="344"/>
      <c r="AU234" s="345">
        <v>87201</v>
      </c>
      <c r="AV234" s="344"/>
      <c r="AW234" s="344"/>
      <c r="AX234" s="344"/>
      <c r="AY234" s="344"/>
      <c r="AZ234" s="345">
        <v>87201</v>
      </c>
      <c r="BA234" s="344"/>
      <c r="BB234" s="344"/>
      <c r="BC234" s="344"/>
      <c r="BD234" s="344"/>
      <c r="BE234" s="345">
        <v>43599</v>
      </c>
      <c r="BF234" s="344"/>
      <c r="BG234" s="344"/>
      <c r="BH234" s="344"/>
      <c r="BI234" s="344"/>
      <c r="BJ234" s="345">
        <v>87201</v>
      </c>
      <c r="BK234" s="344"/>
      <c r="BL234" s="344"/>
      <c r="BM234" s="344"/>
      <c r="BN234" s="344"/>
      <c r="BO234" s="345">
        <v>43599</v>
      </c>
      <c r="BP234" s="344"/>
      <c r="BQ234" s="344"/>
      <c r="BR234" s="344"/>
      <c r="BS234" s="344"/>
      <c r="BT234" s="345">
        <v>43599</v>
      </c>
      <c r="BU234" s="344"/>
      <c r="BV234" s="344"/>
      <c r="BW234" s="344"/>
      <c r="BX234" s="344"/>
      <c r="BY234" s="345">
        <v>43599</v>
      </c>
      <c r="BZ234" s="344"/>
      <c r="CA234" s="344"/>
      <c r="CB234" s="344"/>
      <c r="CC234" s="344"/>
      <c r="CD234" s="345">
        <v>43599</v>
      </c>
      <c r="CE234" s="344"/>
      <c r="CF234" s="344"/>
      <c r="CG234" s="344"/>
      <c r="CH234" s="344"/>
      <c r="CI234" s="352">
        <f t="shared" si="588"/>
        <v>0</v>
      </c>
      <c r="CJ234" s="351">
        <f t="shared" si="589"/>
        <v>0</v>
      </c>
      <c r="CK234" s="351">
        <f t="shared" si="590"/>
        <v>0</v>
      </c>
      <c r="CL234" s="351">
        <f t="shared" si="591"/>
        <v>0</v>
      </c>
      <c r="CM234" s="351">
        <f t="shared" si="592"/>
        <v>0</v>
      </c>
      <c r="CN234" s="352">
        <f t="shared" si="594"/>
        <v>479598</v>
      </c>
      <c r="CO234" s="351">
        <f t="shared" si="594"/>
        <v>0</v>
      </c>
      <c r="CP234" s="351">
        <f t="shared" si="594"/>
        <v>0</v>
      </c>
      <c r="CQ234" s="351">
        <f t="shared" si="594"/>
        <v>0</v>
      </c>
      <c r="CR234" s="351">
        <f t="shared" si="594"/>
        <v>0</v>
      </c>
      <c r="CS234" s="352">
        <f>CN234-CO234-CP234-CQ234-CR234</f>
        <v>479598</v>
      </c>
      <c r="CT234" s="14"/>
    </row>
    <row r="235" spans="1:98" s="4" customFormat="1" ht="72" x14ac:dyDescent="0.3">
      <c r="A235" s="844" t="s">
        <v>824</v>
      </c>
      <c r="B235" s="859" t="s">
        <v>870</v>
      </c>
      <c r="C235" s="859" t="s">
        <v>1333</v>
      </c>
      <c r="D235" s="728" t="s">
        <v>486</v>
      </c>
      <c r="E235" s="728" t="s">
        <v>52</v>
      </c>
      <c r="F235" s="192" t="s">
        <v>487</v>
      </c>
      <c r="G235" s="187" t="s">
        <v>488</v>
      </c>
      <c r="H235" s="533">
        <v>854</v>
      </c>
      <c r="I235" s="187">
        <v>104</v>
      </c>
      <c r="J235" s="637">
        <v>0</v>
      </c>
      <c r="K235" s="289">
        <v>0</v>
      </c>
      <c r="L235" s="637">
        <v>44</v>
      </c>
      <c r="M235" s="643">
        <v>44</v>
      </c>
      <c r="N235" s="597"/>
      <c r="O235" s="628"/>
      <c r="P235" s="444"/>
      <c r="Q235" s="187">
        <v>44</v>
      </c>
      <c r="R235" s="187">
        <v>61</v>
      </c>
      <c r="S235" s="187">
        <v>26</v>
      </c>
      <c r="T235" s="187">
        <v>27</v>
      </c>
      <c r="U235" s="187">
        <v>27</v>
      </c>
      <c r="V235" s="187">
        <v>26</v>
      </c>
      <c r="W235" s="187">
        <v>20</v>
      </c>
      <c r="X235" s="187">
        <v>20</v>
      </c>
      <c r="Y235" s="187">
        <v>23</v>
      </c>
      <c r="Z235" s="187">
        <v>23</v>
      </c>
      <c r="AA235" s="782">
        <f t="shared" ref="AA235:AA238" si="595">SUM(AB235:AE235)</f>
        <v>1463282.2</v>
      </c>
      <c r="AB235" s="780"/>
      <c r="AC235" s="780"/>
      <c r="AD235" s="780"/>
      <c r="AE235" s="780">
        <v>1463282.2</v>
      </c>
      <c r="AF235" s="782"/>
      <c r="AG235" s="780"/>
      <c r="AH235" s="780"/>
      <c r="AI235" s="780"/>
      <c r="AJ235" s="780"/>
      <c r="AK235" s="782">
        <f>SUM(AL235:AO235)</f>
        <v>524303.19999999995</v>
      </c>
      <c r="AL235" s="780"/>
      <c r="AM235" s="780"/>
      <c r="AN235" s="780"/>
      <c r="AO235" s="780">
        <v>524303.19999999995</v>
      </c>
      <c r="AP235" s="782">
        <v>672039.2</v>
      </c>
      <c r="AQ235" s="780"/>
      <c r="AR235" s="780"/>
      <c r="AS235" s="780"/>
      <c r="AT235" s="780"/>
      <c r="AU235" s="782">
        <v>250995.6</v>
      </c>
      <c r="AV235" s="780"/>
      <c r="AW235" s="780"/>
      <c r="AX235" s="780"/>
      <c r="AY235" s="780"/>
      <c r="AZ235" s="782">
        <v>232565.2</v>
      </c>
      <c r="BA235" s="780"/>
      <c r="BB235" s="780"/>
      <c r="BC235" s="780"/>
      <c r="BD235" s="780"/>
      <c r="BE235" s="782">
        <v>240700.4</v>
      </c>
      <c r="BF235" s="780"/>
      <c r="BG235" s="780"/>
      <c r="BH235" s="780"/>
      <c r="BI235" s="780"/>
      <c r="BJ235" s="782">
        <v>233654.7</v>
      </c>
      <c r="BK235" s="780"/>
      <c r="BL235" s="780"/>
      <c r="BM235" s="780"/>
      <c r="BN235" s="780"/>
      <c r="BO235" s="782">
        <v>248099.8</v>
      </c>
      <c r="BP235" s="780"/>
      <c r="BQ235" s="780"/>
      <c r="BR235" s="780"/>
      <c r="BS235" s="780"/>
      <c r="BT235" s="782">
        <v>219644.9</v>
      </c>
      <c r="BU235" s="780"/>
      <c r="BV235" s="780"/>
      <c r="BW235" s="780"/>
      <c r="BX235" s="780"/>
      <c r="BY235" s="782">
        <v>235787.1</v>
      </c>
      <c r="BZ235" s="780"/>
      <c r="CA235" s="780"/>
      <c r="CB235" s="780"/>
      <c r="CC235" s="780"/>
      <c r="CD235" s="782">
        <v>165967</v>
      </c>
      <c r="CE235" s="780"/>
      <c r="CF235" s="780"/>
      <c r="CG235" s="780"/>
      <c r="CH235" s="780"/>
      <c r="CI235" s="773">
        <f t="shared" ref="CI235:CI239" si="596">AA235+AF235+AK235</f>
        <v>1987585.4</v>
      </c>
      <c r="CJ235" s="791">
        <f t="shared" ref="CJ235:CJ239" si="597">AB235+AG235+AL235</f>
        <v>0</v>
      </c>
      <c r="CK235" s="791">
        <f t="shared" ref="CK235:CK239" si="598">AC235+AH235+AM235</f>
        <v>0</v>
      </c>
      <c r="CL235" s="791">
        <f t="shared" ref="CL235:CL239" si="599">AD235+AI235+AN235</f>
        <v>0</v>
      </c>
      <c r="CM235" s="791">
        <f t="shared" ref="CM235:CM239" si="600">AE235+AJ235+AO235</f>
        <v>1987585.4</v>
      </c>
      <c r="CN235" s="773">
        <f t="shared" si="594"/>
        <v>4487039.3</v>
      </c>
      <c r="CO235" s="791">
        <f t="shared" si="594"/>
        <v>0</v>
      </c>
      <c r="CP235" s="791">
        <f t="shared" si="594"/>
        <v>0</v>
      </c>
      <c r="CQ235" s="791">
        <f t="shared" si="594"/>
        <v>0</v>
      </c>
      <c r="CR235" s="791">
        <f t="shared" si="594"/>
        <v>1987585.4</v>
      </c>
      <c r="CS235" s="775">
        <f>CN235-CO235-CP235-CQ235-CR235</f>
        <v>2499453.9</v>
      </c>
      <c r="CT235" s="14"/>
    </row>
    <row r="236" spans="1:98" s="4" customFormat="1" ht="96" x14ac:dyDescent="0.35">
      <c r="A236" s="845"/>
      <c r="B236" s="861"/>
      <c r="C236" s="861"/>
      <c r="D236" s="729"/>
      <c r="E236" s="729"/>
      <c r="F236" s="192" t="s">
        <v>995</v>
      </c>
      <c r="G236" s="187" t="s">
        <v>62</v>
      </c>
      <c r="H236" s="533">
        <v>99.5</v>
      </c>
      <c r="I236" s="187">
        <v>99.4</v>
      </c>
      <c r="J236" s="637">
        <v>99.2</v>
      </c>
      <c r="K236" s="289">
        <v>99.2</v>
      </c>
      <c r="L236" s="633">
        <v>99</v>
      </c>
      <c r="M236" s="643">
        <v>99.2</v>
      </c>
      <c r="N236" s="597"/>
      <c r="O236" s="625"/>
      <c r="P236" s="444"/>
      <c r="Q236" s="187">
        <v>99</v>
      </c>
      <c r="R236" s="187">
        <v>98.5</v>
      </c>
      <c r="S236" s="187">
        <v>97.5</v>
      </c>
      <c r="T236" s="187">
        <v>97</v>
      </c>
      <c r="U236" s="187">
        <v>95.9</v>
      </c>
      <c r="V236" s="187">
        <v>95.2</v>
      </c>
      <c r="W236" s="187">
        <v>94.6</v>
      </c>
      <c r="X236" s="187">
        <v>94</v>
      </c>
      <c r="Y236" s="187">
        <v>93.7</v>
      </c>
      <c r="Z236" s="187">
        <v>93.2</v>
      </c>
      <c r="AA236" s="783"/>
      <c r="AB236" s="781"/>
      <c r="AC236" s="781"/>
      <c r="AD236" s="781"/>
      <c r="AE236" s="781"/>
      <c r="AF236" s="783"/>
      <c r="AG236" s="781"/>
      <c r="AH236" s="781"/>
      <c r="AI236" s="781"/>
      <c r="AJ236" s="781"/>
      <c r="AK236" s="783"/>
      <c r="AL236" s="781"/>
      <c r="AM236" s="781"/>
      <c r="AN236" s="781"/>
      <c r="AO236" s="781"/>
      <c r="AP236" s="783"/>
      <c r="AQ236" s="781"/>
      <c r="AR236" s="781"/>
      <c r="AS236" s="781"/>
      <c r="AT236" s="781"/>
      <c r="AU236" s="783"/>
      <c r="AV236" s="781"/>
      <c r="AW236" s="781"/>
      <c r="AX236" s="781"/>
      <c r="AY236" s="781"/>
      <c r="AZ236" s="783"/>
      <c r="BA236" s="781"/>
      <c r="BB236" s="781"/>
      <c r="BC236" s="781"/>
      <c r="BD236" s="781"/>
      <c r="BE236" s="783"/>
      <c r="BF236" s="781"/>
      <c r="BG236" s="781"/>
      <c r="BH236" s="781"/>
      <c r="BI236" s="781"/>
      <c r="BJ236" s="783"/>
      <c r="BK236" s="781"/>
      <c r="BL236" s="781"/>
      <c r="BM236" s="781"/>
      <c r="BN236" s="781"/>
      <c r="BO236" s="783"/>
      <c r="BP236" s="781"/>
      <c r="BQ236" s="781"/>
      <c r="BR236" s="781"/>
      <c r="BS236" s="781"/>
      <c r="BT236" s="783"/>
      <c r="BU236" s="781"/>
      <c r="BV236" s="781"/>
      <c r="BW236" s="781"/>
      <c r="BX236" s="781"/>
      <c r="BY236" s="783"/>
      <c r="BZ236" s="781"/>
      <c r="CA236" s="781"/>
      <c r="CB236" s="781"/>
      <c r="CC236" s="781"/>
      <c r="CD236" s="783"/>
      <c r="CE236" s="781"/>
      <c r="CF236" s="781"/>
      <c r="CG236" s="781"/>
      <c r="CH236" s="781"/>
      <c r="CI236" s="774"/>
      <c r="CJ236" s="792"/>
      <c r="CK236" s="792"/>
      <c r="CL236" s="792"/>
      <c r="CM236" s="792"/>
      <c r="CN236" s="774"/>
      <c r="CO236" s="792"/>
      <c r="CP236" s="792"/>
      <c r="CQ236" s="792"/>
      <c r="CR236" s="792"/>
      <c r="CS236" s="776"/>
      <c r="CT236" s="14"/>
    </row>
    <row r="237" spans="1:98" s="4" customFormat="1" ht="409.5" customHeight="1" x14ac:dyDescent="0.3">
      <c r="A237" s="152" t="s">
        <v>825</v>
      </c>
      <c r="B237" s="189" t="s">
        <v>541</v>
      </c>
      <c r="C237" s="188" t="s">
        <v>1334</v>
      </c>
      <c r="D237" s="193" t="s">
        <v>482</v>
      </c>
      <c r="E237" s="193" t="s">
        <v>52</v>
      </c>
      <c r="F237" s="192" t="s">
        <v>542</v>
      </c>
      <c r="G237" s="187" t="s">
        <v>488</v>
      </c>
      <c r="H237" s="533">
        <v>860</v>
      </c>
      <c r="I237" s="521">
        <v>45</v>
      </c>
      <c r="J237" s="637">
        <v>45</v>
      </c>
      <c r="K237" s="521"/>
      <c r="L237" s="637">
        <v>45</v>
      </c>
      <c r="M237" s="643">
        <v>156</v>
      </c>
      <c r="N237" s="606" t="s">
        <v>1557</v>
      </c>
      <c r="O237" s="629" t="s">
        <v>1716</v>
      </c>
      <c r="P237" s="523"/>
      <c r="Q237" s="187">
        <v>45</v>
      </c>
      <c r="R237" s="187">
        <v>45</v>
      </c>
      <c r="S237" s="187">
        <v>45</v>
      </c>
      <c r="T237" s="187">
        <v>45</v>
      </c>
      <c r="U237" s="187">
        <v>45</v>
      </c>
      <c r="V237" s="187">
        <v>45</v>
      </c>
      <c r="W237" s="187">
        <v>45</v>
      </c>
      <c r="X237" s="187">
        <v>45</v>
      </c>
      <c r="Y237" s="187">
        <v>45</v>
      </c>
      <c r="Z237" s="187">
        <v>45</v>
      </c>
      <c r="AA237" s="165">
        <f>SUM(AB237:AE237)</f>
        <v>322556.79999999999</v>
      </c>
      <c r="AB237" s="164">
        <v>322556.79999999999</v>
      </c>
      <c r="AC237" s="164"/>
      <c r="AD237" s="164"/>
      <c r="AE237" s="164"/>
      <c r="AF237" s="165">
        <f>SUM(AG237:AJ237)</f>
        <v>434739.3</v>
      </c>
      <c r="AG237" s="164">
        <v>434739.3</v>
      </c>
      <c r="AH237" s="164"/>
      <c r="AI237" s="164"/>
      <c r="AJ237" s="164"/>
      <c r="AK237" s="165">
        <f>SUM(AL237:AO237)</f>
        <v>433557.9</v>
      </c>
      <c r="AL237" s="164">
        <v>433557.9</v>
      </c>
      <c r="AM237" s="164"/>
      <c r="AN237" s="164"/>
      <c r="AO237" s="164"/>
      <c r="AP237" s="165">
        <v>433557.9</v>
      </c>
      <c r="AQ237" s="164"/>
      <c r="AR237" s="164"/>
      <c r="AS237" s="164"/>
      <c r="AT237" s="164"/>
      <c r="AU237" s="165">
        <v>433557.9</v>
      </c>
      <c r="AV237" s="164"/>
      <c r="AW237" s="164"/>
      <c r="AX237" s="164"/>
      <c r="AY237" s="164"/>
      <c r="AZ237" s="165">
        <v>433557.9</v>
      </c>
      <c r="BA237" s="164"/>
      <c r="BB237" s="164"/>
      <c r="BC237" s="164"/>
      <c r="BD237" s="164"/>
      <c r="BE237" s="165">
        <v>433557.9</v>
      </c>
      <c r="BF237" s="164"/>
      <c r="BG237" s="164"/>
      <c r="BH237" s="164"/>
      <c r="BI237" s="164"/>
      <c r="BJ237" s="165">
        <v>433557.9</v>
      </c>
      <c r="BK237" s="164"/>
      <c r="BL237" s="164"/>
      <c r="BM237" s="164"/>
      <c r="BN237" s="164"/>
      <c r="BO237" s="165">
        <v>433557.9</v>
      </c>
      <c r="BP237" s="164"/>
      <c r="BQ237" s="164"/>
      <c r="BR237" s="164"/>
      <c r="BS237" s="164"/>
      <c r="BT237" s="165">
        <v>433557.9</v>
      </c>
      <c r="BU237" s="164"/>
      <c r="BV237" s="164"/>
      <c r="BW237" s="164"/>
      <c r="BX237" s="164"/>
      <c r="BY237" s="165">
        <v>433557.9</v>
      </c>
      <c r="BZ237" s="164"/>
      <c r="CA237" s="164"/>
      <c r="CB237" s="164"/>
      <c r="CC237" s="164"/>
      <c r="CD237" s="165">
        <v>433557.9</v>
      </c>
      <c r="CE237" s="164"/>
      <c r="CF237" s="164"/>
      <c r="CG237" s="164"/>
      <c r="CH237" s="164"/>
      <c r="CI237" s="181">
        <f t="shared" ref="CI237" si="601">AA237+AF237+AK237</f>
        <v>1190854</v>
      </c>
      <c r="CJ237" s="180">
        <f t="shared" ref="CJ237" si="602">AB237+AG237+AL237</f>
        <v>1190854</v>
      </c>
      <c r="CK237" s="180">
        <f t="shared" ref="CK237" si="603">AC237+AH237+AM237</f>
        <v>0</v>
      </c>
      <c r="CL237" s="180">
        <f t="shared" ref="CL237" si="604">AD237+AI237+AN237</f>
        <v>0</v>
      </c>
      <c r="CM237" s="180">
        <f t="shared" ref="CM237" si="605">AE237+AJ237+AO237</f>
        <v>0</v>
      </c>
      <c r="CN237" s="181">
        <f>AA237+AF237+AK237+AP237+AU237+AZ237+BE237+BJ237+BO237+BT237+BY237+CD237</f>
        <v>5092875.1000000006</v>
      </c>
      <c r="CO237" s="180">
        <f>AB237+AG237+AL237+AQ237+AV237+BA237+BF237+BK237+BP237+BU237+BZ237+CE237</f>
        <v>1190854</v>
      </c>
      <c r="CP237" s="180">
        <f>AC237+AH237+AM237+AR237+AW237+BB237+BG237+BL237+BQ237+BV237+CA237+CF237</f>
        <v>0</v>
      </c>
      <c r="CQ237" s="180">
        <f>AD237+AI237+AN237+AS237+AX237+BC237+BH237+BM237+BR237+BW237+CB237+CG237</f>
        <v>0</v>
      </c>
      <c r="CR237" s="180">
        <f>AE237+AJ237+AO237+AT237+AY237+BD237+BI237+BN237+BS237+BX237+CC237+CH237</f>
        <v>0</v>
      </c>
      <c r="CS237" s="273">
        <f>CN237-CO237-CP237-CQ237-CR237</f>
        <v>3902021.1000000006</v>
      </c>
      <c r="CT237" s="14"/>
    </row>
    <row r="238" spans="1:98" s="4" customFormat="1" ht="288" x14ac:dyDescent="0.3">
      <c r="A238" s="152" t="s">
        <v>826</v>
      </c>
      <c r="B238" s="188" t="s">
        <v>489</v>
      </c>
      <c r="C238" s="188" t="s">
        <v>1335</v>
      </c>
      <c r="D238" s="187" t="s">
        <v>1183</v>
      </c>
      <c r="E238" s="187" t="s">
        <v>52</v>
      </c>
      <c r="F238" s="192" t="s">
        <v>490</v>
      </c>
      <c r="G238" s="187" t="s">
        <v>485</v>
      </c>
      <c r="H238" s="533">
        <v>1520</v>
      </c>
      <c r="I238" s="521">
        <f>160+83</f>
        <v>243</v>
      </c>
      <c r="J238" s="637">
        <f>160+30</f>
        <v>190</v>
      </c>
      <c r="K238" s="521">
        <v>245</v>
      </c>
      <c r="L238" s="637">
        <v>30</v>
      </c>
      <c r="M238" s="643">
        <v>93</v>
      </c>
      <c r="N238" s="611" t="s">
        <v>1558</v>
      </c>
      <c r="O238" s="615" t="s">
        <v>1692</v>
      </c>
      <c r="P238" s="542"/>
      <c r="Q238" s="187">
        <v>30</v>
      </c>
      <c r="R238" s="187">
        <f>159+85</f>
        <v>244</v>
      </c>
      <c r="S238" s="187">
        <f t="shared" ref="S238:Y238" si="606">159+85</f>
        <v>244</v>
      </c>
      <c r="T238" s="187">
        <f t="shared" si="606"/>
        <v>244</v>
      </c>
      <c r="U238" s="187">
        <f t="shared" si="606"/>
        <v>244</v>
      </c>
      <c r="V238" s="187">
        <f t="shared" si="606"/>
        <v>244</v>
      </c>
      <c r="W238" s="187">
        <f t="shared" si="606"/>
        <v>244</v>
      </c>
      <c r="X238" s="187">
        <f t="shared" si="606"/>
        <v>244</v>
      </c>
      <c r="Y238" s="187">
        <f t="shared" si="606"/>
        <v>244</v>
      </c>
      <c r="Z238" s="187">
        <f>159+84</f>
        <v>243</v>
      </c>
      <c r="AA238" s="194">
        <f t="shared" si="595"/>
        <v>185904.9</v>
      </c>
      <c r="AB238" s="196">
        <v>60618.7</v>
      </c>
      <c r="AC238" s="196">
        <v>125286.2</v>
      </c>
      <c r="AD238" s="196"/>
      <c r="AE238" s="196"/>
      <c r="AF238" s="194">
        <f>SUM(AG238:AJ238)</f>
        <v>152104</v>
      </c>
      <c r="AG238" s="196">
        <v>26817.8</v>
      </c>
      <c r="AH238" s="196">
        <v>125286.2</v>
      </c>
      <c r="AI238" s="196"/>
      <c r="AJ238" s="196"/>
      <c r="AK238" s="194">
        <f>SUM(AL238:AO238)</f>
        <v>34084.800000000003</v>
      </c>
      <c r="AL238" s="196">
        <v>26699.9</v>
      </c>
      <c r="AM238" s="196">
        <v>7384.9</v>
      </c>
      <c r="AN238" s="196"/>
      <c r="AO238" s="196"/>
      <c r="AP238" s="194">
        <v>288312</v>
      </c>
      <c r="AQ238" s="196"/>
      <c r="AR238" s="196"/>
      <c r="AS238" s="196"/>
      <c r="AT238" s="196"/>
      <c r="AU238" s="194">
        <v>299844</v>
      </c>
      <c r="AV238" s="196"/>
      <c r="AW238" s="196"/>
      <c r="AX238" s="196"/>
      <c r="AY238" s="196"/>
      <c r="AZ238" s="194">
        <v>311838</v>
      </c>
      <c r="BA238" s="196"/>
      <c r="BB238" s="196"/>
      <c r="BC238" s="196"/>
      <c r="BD238" s="196"/>
      <c r="BE238" s="194">
        <v>324312</v>
      </c>
      <c r="BF238" s="196"/>
      <c r="BG238" s="196"/>
      <c r="BH238" s="196"/>
      <c r="BI238" s="196"/>
      <c r="BJ238" s="194">
        <v>337284</v>
      </c>
      <c r="BK238" s="196"/>
      <c r="BL238" s="196"/>
      <c r="BM238" s="196"/>
      <c r="BN238" s="196"/>
      <c r="BO238" s="194">
        <v>350776</v>
      </c>
      <c r="BP238" s="196"/>
      <c r="BQ238" s="196"/>
      <c r="BR238" s="196"/>
      <c r="BS238" s="196"/>
      <c r="BT238" s="194">
        <v>364807</v>
      </c>
      <c r="BU238" s="196"/>
      <c r="BV238" s="196"/>
      <c r="BW238" s="196"/>
      <c r="BX238" s="196"/>
      <c r="BY238" s="194">
        <v>379399</v>
      </c>
      <c r="BZ238" s="196"/>
      <c r="CA238" s="196"/>
      <c r="CB238" s="196"/>
      <c r="CC238" s="196"/>
      <c r="CD238" s="194">
        <v>392958</v>
      </c>
      <c r="CE238" s="196"/>
      <c r="CF238" s="196"/>
      <c r="CG238" s="196"/>
      <c r="CH238" s="196"/>
      <c r="CI238" s="181">
        <f t="shared" si="596"/>
        <v>372093.7</v>
      </c>
      <c r="CJ238" s="180">
        <f t="shared" si="597"/>
        <v>114136.4</v>
      </c>
      <c r="CK238" s="180">
        <f t="shared" si="598"/>
        <v>257957.3</v>
      </c>
      <c r="CL238" s="180">
        <f t="shared" si="599"/>
        <v>0</v>
      </c>
      <c r="CM238" s="180">
        <f t="shared" si="600"/>
        <v>0</v>
      </c>
      <c r="CN238" s="181">
        <f t="shared" ref="CN238:CR244" si="607">AA238+AF238+AK238+AP238+AU238+AZ238+BE238+BJ238+BO238+BT238+BY238+CD238</f>
        <v>3421623.7</v>
      </c>
      <c r="CO238" s="180">
        <f t="shared" si="607"/>
        <v>114136.4</v>
      </c>
      <c r="CP238" s="180">
        <f t="shared" si="607"/>
        <v>257957.3</v>
      </c>
      <c r="CQ238" s="180">
        <f t="shared" si="607"/>
        <v>0</v>
      </c>
      <c r="CR238" s="180">
        <f t="shared" si="607"/>
        <v>0</v>
      </c>
      <c r="CS238" s="273">
        <f>CN238-CO238-CP238-CQ238-CR238</f>
        <v>3049530.0000000005</v>
      </c>
      <c r="CT238" s="14"/>
    </row>
    <row r="239" spans="1:98" s="4" customFormat="1" ht="96" x14ac:dyDescent="0.3">
      <c r="A239" s="758" t="s">
        <v>827</v>
      </c>
      <c r="B239" s="839" t="s">
        <v>1147</v>
      </c>
      <c r="C239" s="483" t="s">
        <v>1458</v>
      </c>
      <c r="D239" s="476" t="s">
        <v>28</v>
      </c>
      <c r="E239" s="477" t="s">
        <v>330</v>
      </c>
      <c r="F239" s="481" t="s">
        <v>1102</v>
      </c>
      <c r="G239" s="477" t="s">
        <v>117</v>
      </c>
      <c r="H239" s="528"/>
      <c r="I239" s="99"/>
      <c r="J239" s="630" t="s">
        <v>118</v>
      </c>
      <c r="K239" s="477" t="s">
        <v>140</v>
      </c>
      <c r="L239" s="630" t="s">
        <v>118</v>
      </c>
      <c r="M239" s="702"/>
      <c r="N239" s="599" t="s">
        <v>1531</v>
      </c>
      <c r="O239" s="518" t="s">
        <v>1531</v>
      </c>
      <c r="P239" s="518"/>
      <c r="Q239" s="477" t="s">
        <v>118</v>
      </c>
      <c r="R239" s="477"/>
      <c r="S239" s="477"/>
      <c r="T239" s="477"/>
      <c r="U239" s="477"/>
      <c r="V239" s="477"/>
      <c r="W239" s="477"/>
      <c r="X239" s="477"/>
      <c r="Y239" s="477"/>
      <c r="Z239" s="477"/>
      <c r="AA239" s="480"/>
      <c r="AB239" s="485"/>
      <c r="AC239" s="485"/>
      <c r="AD239" s="485"/>
      <c r="AE239" s="485"/>
      <c r="AF239" s="480">
        <f>SUM(AG239:AJ239)</f>
        <v>2000</v>
      </c>
      <c r="AG239" s="485">
        <v>2000</v>
      </c>
      <c r="AH239" s="485"/>
      <c r="AI239" s="485"/>
      <c r="AJ239" s="485"/>
      <c r="AK239" s="480">
        <f>SUM(AL239:AO239)</f>
        <v>7000</v>
      </c>
      <c r="AL239" s="485">
        <v>7000</v>
      </c>
      <c r="AM239" s="485"/>
      <c r="AN239" s="485"/>
      <c r="AO239" s="485"/>
      <c r="AP239" s="480"/>
      <c r="AQ239" s="485"/>
      <c r="AR239" s="485"/>
      <c r="AS239" s="485"/>
      <c r="AT239" s="485"/>
      <c r="AU239" s="480"/>
      <c r="AV239" s="485"/>
      <c r="AW239" s="485"/>
      <c r="AX239" s="485"/>
      <c r="AY239" s="485"/>
      <c r="AZ239" s="480"/>
      <c r="BA239" s="485"/>
      <c r="BB239" s="485"/>
      <c r="BC239" s="485"/>
      <c r="BD239" s="485"/>
      <c r="BE239" s="480"/>
      <c r="BF239" s="485"/>
      <c r="BG239" s="485"/>
      <c r="BH239" s="485"/>
      <c r="BI239" s="485"/>
      <c r="BJ239" s="480"/>
      <c r="BK239" s="485"/>
      <c r="BL239" s="485"/>
      <c r="BM239" s="485"/>
      <c r="BN239" s="485"/>
      <c r="BO239" s="480"/>
      <c r="BP239" s="485"/>
      <c r="BQ239" s="485"/>
      <c r="BR239" s="485"/>
      <c r="BS239" s="485"/>
      <c r="BT239" s="480"/>
      <c r="BU239" s="485"/>
      <c r="BV239" s="485"/>
      <c r="BW239" s="485"/>
      <c r="BX239" s="485"/>
      <c r="BY239" s="480"/>
      <c r="BZ239" s="485"/>
      <c r="CA239" s="485"/>
      <c r="CB239" s="485"/>
      <c r="CC239" s="485"/>
      <c r="CD239" s="480"/>
      <c r="CE239" s="485"/>
      <c r="CF239" s="485"/>
      <c r="CG239" s="485"/>
      <c r="CH239" s="485"/>
      <c r="CI239" s="501">
        <f t="shared" si="596"/>
        <v>9000</v>
      </c>
      <c r="CJ239" s="492">
        <f t="shared" si="597"/>
        <v>9000</v>
      </c>
      <c r="CK239" s="492">
        <f t="shared" si="598"/>
        <v>0</v>
      </c>
      <c r="CL239" s="492">
        <f t="shared" si="599"/>
        <v>0</v>
      </c>
      <c r="CM239" s="492">
        <f t="shared" si="600"/>
        <v>0</v>
      </c>
      <c r="CN239" s="501">
        <f t="shared" si="607"/>
        <v>9000</v>
      </c>
      <c r="CO239" s="492">
        <f t="shared" si="607"/>
        <v>9000</v>
      </c>
      <c r="CP239" s="492">
        <f t="shared" si="607"/>
        <v>0</v>
      </c>
      <c r="CQ239" s="492">
        <f t="shared" si="607"/>
        <v>0</v>
      </c>
      <c r="CR239" s="492">
        <f t="shared" si="607"/>
        <v>0</v>
      </c>
      <c r="CS239" s="501">
        <f>CN239-CO239-CP239-CQ239-CR239</f>
        <v>0</v>
      </c>
      <c r="CT239" s="14"/>
    </row>
    <row r="240" spans="1:98" s="4" customFormat="1" ht="83.25" customHeight="1" x14ac:dyDescent="0.3">
      <c r="A240" s="758"/>
      <c r="B240" s="856"/>
      <c r="C240" s="356" t="s">
        <v>1337</v>
      </c>
      <c r="D240" s="353" t="s">
        <v>28</v>
      </c>
      <c r="E240" s="350" t="s">
        <v>336</v>
      </c>
      <c r="F240" s="334" t="s">
        <v>1103</v>
      </c>
      <c r="G240" s="350" t="s">
        <v>117</v>
      </c>
      <c r="H240" s="528"/>
      <c r="I240" s="99"/>
      <c r="J240" s="630"/>
      <c r="K240" s="350"/>
      <c r="L240" s="630"/>
      <c r="M240" s="702"/>
      <c r="N240" s="599"/>
      <c r="O240" s="618"/>
      <c r="P240" s="518"/>
      <c r="Q240" s="350"/>
      <c r="R240" s="350" t="s">
        <v>118</v>
      </c>
      <c r="S240" s="350" t="s">
        <v>118</v>
      </c>
      <c r="T240" s="350"/>
      <c r="U240" s="350"/>
      <c r="V240" s="350"/>
      <c r="W240" s="350"/>
      <c r="X240" s="350"/>
      <c r="Y240" s="350"/>
      <c r="Z240" s="350"/>
      <c r="AA240" s="345"/>
      <c r="AB240" s="344"/>
      <c r="AC240" s="344"/>
      <c r="AD240" s="344"/>
      <c r="AE240" s="344"/>
      <c r="AF240" s="345"/>
      <c r="AG240" s="344"/>
      <c r="AH240" s="344"/>
      <c r="AI240" s="344"/>
      <c r="AJ240" s="344"/>
      <c r="AK240" s="345"/>
      <c r="AL240" s="344"/>
      <c r="AM240" s="344"/>
      <c r="AN240" s="344"/>
      <c r="AO240" s="344"/>
      <c r="AP240" s="345">
        <v>200000</v>
      </c>
      <c r="AQ240" s="344"/>
      <c r="AR240" s="344"/>
      <c r="AS240" s="344"/>
      <c r="AT240" s="344"/>
      <c r="AU240" s="345">
        <v>600000</v>
      </c>
      <c r="AV240" s="344"/>
      <c r="AW240" s="344"/>
      <c r="AX240" s="344"/>
      <c r="AY240" s="344"/>
      <c r="AZ240" s="345"/>
      <c r="BA240" s="344"/>
      <c r="BB240" s="344"/>
      <c r="BC240" s="344"/>
      <c r="BD240" s="344"/>
      <c r="BE240" s="345"/>
      <c r="BF240" s="344"/>
      <c r="BG240" s="344"/>
      <c r="BH240" s="344"/>
      <c r="BI240" s="344"/>
      <c r="BJ240" s="345"/>
      <c r="BK240" s="344"/>
      <c r="BL240" s="344"/>
      <c r="BM240" s="344"/>
      <c r="BN240" s="344"/>
      <c r="BO240" s="345"/>
      <c r="BP240" s="344"/>
      <c r="BQ240" s="344"/>
      <c r="BR240" s="344"/>
      <c r="BS240" s="344"/>
      <c r="BT240" s="345"/>
      <c r="BU240" s="344"/>
      <c r="BV240" s="344"/>
      <c r="BW240" s="344"/>
      <c r="BX240" s="344"/>
      <c r="BY240" s="345"/>
      <c r="BZ240" s="344"/>
      <c r="CA240" s="344"/>
      <c r="CB240" s="344"/>
      <c r="CC240" s="344"/>
      <c r="CD240" s="345"/>
      <c r="CE240" s="344"/>
      <c r="CF240" s="344"/>
      <c r="CG240" s="344"/>
      <c r="CH240" s="344"/>
      <c r="CI240" s="352">
        <f t="shared" ref="CI240:CI243" si="608">AA240+AF240+AK240</f>
        <v>0</v>
      </c>
      <c r="CJ240" s="351">
        <f t="shared" ref="CJ240:CJ243" si="609">AB240+AG240+AL240</f>
        <v>0</v>
      </c>
      <c r="CK240" s="351">
        <f t="shared" ref="CK240:CK243" si="610">AC240+AH240+AM240</f>
        <v>0</v>
      </c>
      <c r="CL240" s="351">
        <f t="shared" ref="CL240:CL243" si="611">AD240+AI240+AN240</f>
        <v>0</v>
      </c>
      <c r="CM240" s="351">
        <f t="shared" ref="CM240:CM243" si="612">AE240+AJ240+AO240</f>
        <v>0</v>
      </c>
      <c r="CN240" s="352">
        <f t="shared" si="607"/>
        <v>800000</v>
      </c>
      <c r="CO240" s="351">
        <f t="shared" si="607"/>
        <v>0</v>
      </c>
      <c r="CP240" s="351">
        <f t="shared" si="607"/>
        <v>0</v>
      </c>
      <c r="CQ240" s="351">
        <f t="shared" si="607"/>
        <v>0</v>
      </c>
      <c r="CR240" s="351">
        <f t="shared" si="607"/>
        <v>0</v>
      </c>
      <c r="CS240" s="352">
        <f t="shared" ref="CS240:CS241" si="613">CN240-CO240-CP240-CQ240-CR240</f>
        <v>800000</v>
      </c>
      <c r="CT240" s="14"/>
    </row>
    <row r="241" spans="1:98" s="4" customFormat="1" ht="198.75" customHeight="1" x14ac:dyDescent="0.3">
      <c r="A241" s="758"/>
      <c r="B241" s="840"/>
      <c r="C241" s="356" t="s">
        <v>1338</v>
      </c>
      <c r="D241" s="353" t="s">
        <v>28</v>
      </c>
      <c r="E241" s="350">
        <v>2024</v>
      </c>
      <c r="F241" s="334" t="s">
        <v>1104</v>
      </c>
      <c r="G241" s="350" t="s">
        <v>117</v>
      </c>
      <c r="H241" s="528"/>
      <c r="I241" s="99"/>
      <c r="J241" s="630"/>
      <c r="K241" s="350"/>
      <c r="L241" s="630"/>
      <c r="M241" s="702"/>
      <c r="N241" s="599"/>
      <c r="O241" s="614"/>
      <c r="P241" s="518"/>
      <c r="Q241" s="350"/>
      <c r="R241" s="350"/>
      <c r="S241" s="350"/>
      <c r="T241" s="350" t="s">
        <v>118</v>
      </c>
      <c r="U241" s="350"/>
      <c r="V241" s="350"/>
      <c r="W241" s="350"/>
      <c r="X241" s="350"/>
      <c r="Y241" s="350"/>
      <c r="Z241" s="350"/>
      <c r="AA241" s="345"/>
      <c r="AB241" s="344"/>
      <c r="AC241" s="344"/>
      <c r="AD241" s="344"/>
      <c r="AE241" s="344"/>
      <c r="AF241" s="345"/>
      <c r="AG241" s="344"/>
      <c r="AH241" s="344"/>
      <c r="AI241" s="344"/>
      <c r="AJ241" s="344"/>
      <c r="AK241" s="345"/>
      <c r="AL241" s="344"/>
      <c r="AM241" s="344"/>
      <c r="AN241" s="344"/>
      <c r="AO241" s="344"/>
      <c r="AP241" s="345"/>
      <c r="AQ241" s="344"/>
      <c r="AR241" s="344"/>
      <c r="AS241" s="344"/>
      <c r="AT241" s="344"/>
      <c r="AU241" s="345"/>
      <c r="AV241" s="344"/>
      <c r="AW241" s="344"/>
      <c r="AX241" s="344"/>
      <c r="AY241" s="344"/>
      <c r="AZ241" s="345">
        <v>200000</v>
      </c>
      <c r="BA241" s="344"/>
      <c r="BB241" s="344"/>
      <c r="BC241" s="344"/>
      <c r="BD241" s="344"/>
      <c r="BE241" s="345"/>
      <c r="BF241" s="344"/>
      <c r="BG241" s="344"/>
      <c r="BH241" s="344"/>
      <c r="BI241" s="344"/>
      <c r="BJ241" s="345"/>
      <c r="BK241" s="344"/>
      <c r="BL241" s="344"/>
      <c r="BM241" s="344"/>
      <c r="BN241" s="344"/>
      <c r="BO241" s="345"/>
      <c r="BP241" s="344"/>
      <c r="BQ241" s="344"/>
      <c r="BR241" s="344"/>
      <c r="BS241" s="344"/>
      <c r="BT241" s="345"/>
      <c r="BU241" s="344"/>
      <c r="BV241" s="344"/>
      <c r="BW241" s="344"/>
      <c r="BX241" s="344"/>
      <c r="BY241" s="345"/>
      <c r="BZ241" s="344"/>
      <c r="CA241" s="344"/>
      <c r="CB241" s="344"/>
      <c r="CC241" s="344"/>
      <c r="CD241" s="345"/>
      <c r="CE241" s="344"/>
      <c r="CF241" s="344"/>
      <c r="CG241" s="344"/>
      <c r="CH241" s="344"/>
      <c r="CI241" s="352">
        <f t="shared" si="608"/>
        <v>0</v>
      </c>
      <c r="CJ241" s="351">
        <f t="shared" si="609"/>
        <v>0</v>
      </c>
      <c r="CK241" s="351">
        <f t="shared" si="610"/>
        <v>0</v>
      </c>
      <c r="CL241" s="351">
        <f t="shared" si="611"/>
        <v>0</v>
      </c>
      <c r="CM241" s="351">
        <f t="shared" si="612"/>
        <v>0</v>
      </c>
      <c r="CN241" s="352">
        <f t="shared" si="607"/>
        <v>200000</v>
      </c>
      <c r="CO241" s="351">
        <f t="shared" si="607"/>
        <v>0</v>
      </c>
      <c r="CP241" s="351">
        <f t="shared" si="607"/>
        <v>0</v>
      </c>
      <c r="CQ241" s="351">
        <f t="shared" si="607"/>
        <v>0</v>
      </c>
      <c r="CR241" s="351">
        <f t="shared" si="607"/>
        <v>0</v>
      </c>
      <c r="CS241" s="352">
        <f t="shared" si="613"/>
        <v>200000</v>
      </c>
      <c r="CT241" s="14"/>
    </row>
    <row r="242" spans="1:98" s="4" customFormat="1" ht="240" x14ac:dyDescent="0.3">
      <c r="A242" s="678" t="s">
        <v>828</v>
      </c>
      <c r="B242" s="683" t="s">
        <v>493</v>
      </c>
      <c r="C242" s="681" t="s">
        <v>1339</v>
      </c>
      <c r="D242" s="675" t="s">
        <v>494</v>
      </c>
      <c r="E242" s="698" t="s">
        <v>52</v>
      </c>
      <c r="F242" s="684" t="s">
        <v>495</v>
      </c>
      <c r="G242" s="675" t="s">
        <v>286</v>
      </c>
      <c r="H242" s="698">
        <v>67</v>
      </c>
      <c r="I242" s="698">
        <v>106</v>
      </c>
      <c r="J242" s="698">
        <v>147</v>
      </c>
      <c r="K242" s="698">
        <v>117</v>
      </c>
      <c r="L242" s="698">
        <v>224</v>
      </c>
      <c r="M242" s="653">
        <v>179</v>
      </c>
      <c r="N242" s="699" t="s">
        <v>1559</v>
      </c>
      <c r="O242" s="684" t="s">
        <v>1727</v>
      </c>
      <c r="P242" s="699"/>
      <c r="Q242" s="698">
        <v>224</v>
      </c>
      <c r="R242" s="698">
        <v>224</v>
      </c>
      <c r="S242" s="698">
        <v>224</v>
      </c>
      <c r="T242" s="698">
        <v>223</v>
      </c>
      <c r="U242" s="698">
        <v>223</v>
      </c>
      <c r="V242" s="698">
        <v>223</v>
      </c>
      <c r="W242" s="698">
        <v>223</v>
      </c>
      <c r="X242" s="698">
        <v>223</v>
      </c>
      <c r="Y242" s="698">
        <v>223</v>
      </c>
      <c r="Z242" s="698">
        <v>223</v>
      </c>
      <c r="AA242" s="697">
        <f>SUM(AB242:AE242)</f>
        <v>34781.1</v>
      </c>
      <c r="AB242" s="696">
        <v>34781.1</v>
      </c>
      <c r="AC242" s="696"/>
      <c r="AD242" s="696"/>
      <c r="AE242" s="696"/>
      <c r="AF242" s="697">
        <v>48202.9</v>
      </c>
      <c r="AG242" s="696"/>
      <c r="AH242" s="696"/>
      <c r="AI242" s="696"/>
      <c r="AJ242" s="696"/>
      <c r="AK242" s="697">
        <v>73242.399999999994</v>
      </c>
      <c r="AL242" s="696">
        <v>8927.9</v>
      </c>
      <c r="AM242" s="696"/>
      <c r="AN242" s="696"/>
      <c r="AO242" s="696"/>
      <c r="AP242" s="697">
        <v>73242.399999999994</v>
      </c>
      <c r="AQ242" s="696"/>
      <c r="AR242" s="696"/>
      <c r="AS242" s="696"/>
      <c r="AT242" s="696"/>
      <c r="AU242" s="697">
        <v>73242.399999999994</v>
      </c>
      <c r="AV242" s="696"/>
      <c r="AW242" s="696"/>
      <c r="AX242" s="696"/>
      <c r="AY242" s="696"/>
      <c r="AZ242" s="697">
        <v>73242.399999999994</v>
      </c>
      <c r="BA242" s="696"/>
      <c r="BB242" s="696"/>
      <c r="BC242" s="696"/>
      <c r="BD242" s="696"/>
      <c r="BE242" s="697">
        <v>73242.399999999994</v>
      </c>
      <c r="BF242" s="696"/>
      <c r="BG242" s="696"/>
      <c r="BH242" s="696"/>
      <c r="BI242" s="696"/>
      <c r="BJ242" s="697">
        <v>73242.399999999994</v>
      </c>
      <c r="BK242" s="696"/>
      <c r="BL242" s="696"/>
      <c r="BM242" s="696"/>
      <c r="BN242" s="696"/>
      <c r="BO242" s="697">
        <v>73242.399999999994</v>
      </c>
      <c r="BP242" s="696"/>
      <c r="BQ242" s="696"/>
      <c r="BR242" s="696"/>
      <c r="BS242" s="696"/>
      <c r="BT242" s="697">
        <v>73242.399999999994</v>
      </c>
      <c r="BU242" s="696"/>
      <c r="BV242" s="696"/>
      <c r="BW242" s="696"/>
      <c r="BX242" s="696"/>
      <c r="BY242" s="697">
        <v>73242.399999999994</v>
      </c>
      <c r="BZ242" s="696"/>
      <c r="CA242" s="696"/>
      <c r="CB242" s="696"/>
      <c r="CC242" s="696"/>
      <c r="CD242" s="697">
        <v>73242.399999999994</v>
      </c>
      <c r="CE242" s="696"/>
      <c r="CF242" s="696"/>
      <c r="CG242" s="696"/>
      <c r="CH242" s="696"/>
      <c r="CI242" s="691">
        <f t="shared" si="608"/>
        <v>156226.4</v>
      </c>
      <c r="CJ242" s="692">
        <f t="shared" si="609"/>
        <v>43709</v>
      </c>
      <c r="CK242" s="692">
        <f t="shared" si="610"/>
        <v>0</v>
      </c>
      <c r="CL242" s="692">
        <f t="shared" si="611"/>
        <v>0</v>
      </c>
      <c r="CM242" s="692">
        <f t="shared" si="612"/>
        <v>0</v>
      </c>
      <c r="CN242" s="691">
        <f t="shared" si="607"/>
        <v>815408.00000000012</v>
      </c>
      <c r="CO242" s="692">
        <f t="shared" si="607"/>
        <v>43709</v>
      </c>
      <c r="CP242" s="692">
        <f t="shared" si="607"/>
        <v>0</v>
      </c>
      <c r="CQ242" s="692">
        <f t="shared" si="607"/>
        <v>0</v>
      </c>
      <c r="CR242" s="692">
        <f t="shared" si="607"/>
        <v>0</v>
      </c>
      <c r="CS242" s="691">
        <f>CN242-CO242-CP242-CQ242-CR242</f>
        <v>771699.00000000012</v>
      </c>
      <c r="CT242" s="14"/>
    </row>
    <row r="243" spans="1:98" s="4" customFormat="1" ht="264" x14ac:dyDescent="0.3">
      <c r="A243" s="152" t="s">
        <v>829</v>
      </c>
      <c r="B243" s="176" t="s">
        <v>496</v>
      </c>
      <c r="C243" s="188" t="s">
        <v>1340</v>
      </c>
      <c r="D243" s="193" t="s">
        <v>494</v>
      </c>
      <c r="E243" s="50" t="s">
        <v>52</v>
      </c>
      <c r="F243" s="192" t="s">
        <v>497</v>
      </c>
      <c r="G243" s="193" t="s">
        <v>288</v>
      </c>
      <c r="H243" s="528">
        <v>138</v>
      </c>
      <c r="I243" s="50">
        <v>102</v>
      </c>
      <c r="J243" s="630">
        <v>102</v>
      </c>
      <c r="K243" s="286">
        <v>90</v>
      </c>
      <c r="L243" s="630">
        <v>102</v>
      </c>
      <c r="M243" s="653">
        <v>95</v>
      </c>
      <c r="N243" s="611" t="s">
        <v>1560</v>
      </c>
      <c r="O243" s="615" t="s">
        <v>1693</v>
      </c>
      <c r="P243" s="582"/>
      <c r="Q243" s="50">
        <v>102</v>
      </c>
      <c r="R243" s="50">
        <v>102</v>
      </c>
      <c r="S243" s="50">
        <v>102</v>
      </c>
      <c r="T243" s="50">
        <v>102</v>
      </c>
      <c r="U243" s="50">
        <v>102</v>
      </c>
      <c r="V243" s="50">
        <v>102</v>
      </c>
      <c r="W243" s="50">
        <v>102</v>
      </c>
      <c r="X243" s="50">
        <v>102</v>
      </c>
      <c r="Y243" s="50">
        <v>102</v>
      </c>
      <c r="Z243" s="50">
        <v>102</v>
      </c>
      <c r="AA243" s="194">
        <f>SUM(AB243:AE243)</f>
        <v>19300</v>
      </c>
      <c r="AB243" s="196">
        <v>19300</v>
      </c>
      <c r="AC243" s="196"/>
      <c r="AD243" s="196"/>
      <c r="AE243" s="196"/>
      <c r="AF243" s="194">
        <f>SUM(AG243:AJ243)</f>
        <v>20700</v>
      </c>
      <c r="AG243" s="196">
        <v>20700</v>
      </c>
      <c r="AH243" s="196"/>
      <c r="AI243" s="196"/>
      <c r="AJ243" s="196"/>
      <c r="AK243" s="194">
        <f>SUM(AL243:AO243)</f>
        <v>20700</v>
      </c>
      <c r="AL243" s="196">
        <v>20700</v>
      </c>
      <c r="AM243" s="196"/>
      <c r="AN243" s="196"/>
      <c r="AO243" s="196"/>
      <c r="AP243" s="194">
        <v>20600</v>
      </c>
      <c r="AQ243" s="196"/>
      <c r="AR243" s="196"/>
      <c r="AS243" s="196"/>
      <c r="AT243" s="196"/>
      <c r="AU243" s="194">
        <v>20600</v>
      </c>
      <c r="AV243" s="196"/>
      <c r="AW243" s="196"/>
      <c r="AX243" s="196"/>
      <c r="AY243" s="196"/>
      <c r="AZ243" s="194">
        <v>20600</v>
      </c>
      <c r="BA243" s="196"/>
      <c r="BB243" s="196"/>
      <c r="BC243" s="196"/>
      <c r="BD243" s="196"/>
      <c r="BE243" s="194">
        <v>20600</v>
      </c>
      <c r="BF243" s="196"/>
      <c r="BG243" s="196"/>
      <c r="BH243" s="196"/>
      <c r="BI243" s="196"/>
      <c r="BJ243" s="194">
        <v>20600</v>
      </c>
      <c r="BK243" s="196"/>
      <c r="BL243" s="196"/>
      <c r="BM243" s="196"/>
      <c r="BN243" s="196"/>
      <c r="BO243" s="194">
        <v>20600</v>
      </c>
      <c r="BP243" s="196"/>
      <c r="BQ243" s="196"/>
      <c r="BR243" s="196"/>
      <c r="BS243" s="196"/>
      <c r="BT243" s="194">
        <v>20600</v>
      </c>
      <c r="BU243" s="196"/>
      <c r="BV243" s="196"/>
      <c r="BW243" s="196"/>
      <c r="BX243" s="196"/>
      <c r="BY243" s="194">
        <v>20600</v>
      </c>
      <c r="BZ243" s="196"/>
      <c r="CA243" s="196"/>
      <c r="CB243" s="196"/>
      <c r="CC243" s="196"/>
      <c r="CD243" s="194">
        <v>20600</v>
      </c>
      <c r="CE243" s="196"/>
      <c r="CF243" s="196"/>
      <c r="CG243" s="196"/>
      <c r="CH243" s="196"/>
      <c r="CI243" s="181">
        <f t="shared" si="608"/>
        <v>60700</v>
      </c>
      <c r="CJ243" s="180">
        <f t="shared" si="609"/>
        <v>60700</v>
      </c>
      <c r="CK243" s="180">
        <f t="shared" si="610"/>
        <v>0</v>
      </c>
      <c r="CL243" s="180">
        <f t="shared" si="611"/>
        <v>0</v>
      </c>
      <c r="CM243" s="180">
        <f t="shared" si="612"/>
        <v>0</v>
      </c>
      <c r="CN243" s="181">
        <f t="shared" si="607"/>
        <v>246100</v>
      </c>
      <c r="CO243" s="180">
        <f t="shared" si="607"/>
        <v>60700</v>
      </c>
      <c r="CP243" s="180">
        <f t="shared" si="607"/>
        <v>0</v>
      </c>
      <c r="CQ243" s="180">
        <f t="shared" si="607"/>
        <v>0</v>
      </c>
      <c r="CR243" s="180">
        <f t="shared" si="607"/>
        <v>0</v>
      </c>
      <c r="CS243" s="273">
        <f>CN243-CO243-CP243-CQ243-CR243</f>
        <v>185400</v>
      </c>
      <c r="CT243" s="14"/>
    </row>
    <row r="244" spans="1:98" s="4" customFormat="1" ht="96" x14ac:dyDescent="0.3">
      <c r="A244" s="844" t="s">
        <v>1330</v>
      </c>
      <c r="B244" s="839" t="s">
        <v>925</v>
      </c>
      <c r="C244" s="859" t="s">
        <v>1341</v>
      </c>
      <c r="D244" s="714" t="s">
        <v>482</v>
      </c>
      <c r="E244" s="716" t="s">
        <v>52</v>
      </c>
      <c r="F244" s="192" t="s">
        <v>926</v>
      </c>
      <c r="G244" s="193" t="s">
        <v>479</v>
      </c>
      <c r="H244" s="528" t="s">
        <v>140</v>
      </c>
      <c r="I244" s="50">
        <v>1</v>
      </c>
      <c r="J244" s="630">
        <v>2</v>
      </c>
      <c r="K244" s="286">
        <v>2</v>
      </c>
      <c r="L244" s="630">
        <v>2</v>
      </c>
      <c r="M244" s="653">
        <v>1</v>
      </c>
      <c r="N244" s="611" t="s">
        <v>1561</v>
      </c>
      <c r="O244" s="615" t="s">
        <v>1705</v>
      </c>
      <c r="P244" s="557"/>
      <c r="Q244" s="50">
        <v>2</v>
      </c>
      <c r="R244" s="50">
        <v>3</v>
      </c>
      <c r="S244" s="50">
        <v>3</v>
      </c>
      <c r="T244" s="50">
        <v>4</v>
      </c>
      <c r="U244" s="50">
        <v>3</v>
      </c>
      <c r="V244" s="50">
        <v>3</v>
      </c>
      <c r="W244" s="50">
        <v>2</v>
      </c>
      <c r="X244" s="50">
        <v>2</v>
      </c>
      <c r="Y244" s="50">
        <v>2</v>
      </c>
      <c r="Z244" s="50">
        <v>2</v>
      </c>
      <c r="AA244" s="782">
        <v>20592.2</v>
      </c>
      <c r="AB244" s="780"/>
      <c r="AC244" s="780">
        <v>20571.599999999999</v>
      </c>
      <c r="AD244" s="780"/>
      <c r="AE244" s="780"/>
      <c r="AF244" s="782">
        <v>42375.9</v>
      </c>
      <c r="AG244" s="780"/>
      <c r="AH244" s="780">
        <v>42333.599999999999</v>
      </c>
      <c r="AI244" s="780"/>
      <c r="AJ244" s="780"/>
      <c r="AK244" s="782">
        <v>40921</v>
      </c>
      <c r="AL244" s="780"/>
      <c r="AM244" s="780"/>
      <c r="AN244" s="780"/>
      <c r="AO244" s="780"/>
      <c r="AP244" s="782">
        <v>46805</v>
      </c>
      <c r="AQ244" s="780"/>
      <c r="AR244" s="780"/>
      <c r="AS244" s="780"/>
      <c r="AT244" s="780"/>
      <c r="AU244" s="782">
        <v>61421</v>
      </c>
      <c r="AV244" s="780"/>
      <c r="AW244" s="780"/>
      <c r="AX244" s="780"/>
      <c r="AY244" s="780"/>
      <c r="AZ244" s="782">
        <v>74646</v>
      </c>
      <c r="BA244" s="780"/>
      <c r="BB244" s="780"/>
      <c r="BC244" s="780"/>
      <c r="BD244" s="780"/>
      <c r="BE244" s="782">
        <v>60951</v>
      </c>
      <c r="BF244" s="780"/>
      <c r="BG244" s="780"/>
      <c r="BH244" s="780"/>
      <c r="BI244" s="780"/>
      <c r="BJ244" s="782">
        <v>60544</v>
      </c>
      <c r="BK244" s="780"/>
      <c r="BL244" s="780"/>
      <c r="BM244" s="780"/>
      <c r="BN244" s="780"/>
      <c r="BO244" s="782">
        <v>40255</v>
      </c>
      <c r="BP244" s="780"/>
      <c r="BQ244" s="780"/>
      <c r="BR244" s="780"/>
      <c r="BS244" s="780"/>
      <c r="BT244" s="782">
        <v>43642</v>
      </c>
      <c r="BU244" s="780"/>
      <c r="BV244" s="780"/>
      <c r="BW244" s="780"/>
      <c r="BX244" s="780"/>
      <c r="BY244" s="782">
        <v>39266</v>
      </c>
      <c r="BZ244" s="780"/>
      <c r="CA244" s="780"/>
      <c r="CB244" s="780"/>
      <c r="CC244" s="780"/>
      <c r="CD244" s="782">
        <v>43018</v>
      </c>
      <c r="CE244" s="780"/>
      <c r="CF244" s="780"/>
      <c r="CG244" s="780"/>
      <c r="CH244" s="780"/>
      <c r="CI244" s="773">
        <f t="shared" ref="CI244" si="614">AA244+AF244+AK244</f>
        <v>103889.1</v>
      </c>
      <c r="CJ244" s="791">
        <f t="shared" ref="CJ244" si="615">AB244+AG244+AL244</f>
        <v>0</v>
      </c>
      <c r="CK244" s="791">
        <f t="shared" ref="CK244" si="616">AC244+AH244+AM244</f>
        <v>62905.2</v>
      </c>
      <c r="CL244" s="791">
        <f t="shared" ref="CL244" si="617">AD244+AI244+AN244</f>
        <v>0</v>
      </c>
      <c r="CM244" s="791">
        <f t="shared" ref="CM244" si="618">AE244+AJ244+AO244</f>
        <v>0</v>
      </c>
      <c r="CN244" s="773">
        <f t="shared" si="607"/>
        <v>574437.1</v>
      </c>
      <c r="CO244" s="791">
        <f t="shared" si="607"/>
        <v>0</v>
      </c>
      <c r="CP244" s="791">
        <f t="shared" si="607"/>
        <v>62905.2</v>
      </c>
      <c r="CQ244" s="791">
        <f t="shared" si="607"/>
        <v>0</v>
      </c>
      <c r="CR244" s="791">
        <f t="shared" si="607"/>
        <v>0</v>
      </c>
      <c r="CS244" s="775">
        <f>CN244-CO244-CP244-CQ244-CR244</f>
        <v>511531.89999999997</v>
      </c>
      <c r="CT244" s="14"/>
    </row>
    <row r="245" spans="1:98" s="4" customFormat="1" ht="72" x14ac:dyDescent="0.3">
      <c r="A245" s="845"/>
      <c r="B245" s="840"/>
      <c r="C245" s="861"/>
      <c r="D245" s="715"/>
      <c r="E245" s="717"/>
      <c r="F245" s="192" t="s">
        <v>927</v>
      </c>
      <c r="G245" s="193" t="s">
        <v>62</v>
      </c>
      <c r="H245" s="528">
        <v>0.7</v>
      </c>
      <c r="I245" s="50">
        <v>0.4</v>
      </c>
      <c r="J245" s="630">
        <v>0.2</v>
      </c>
      <c r="K245" s="286">
        <v>0.3</v>
      </c>
      <c r="L245" s="630"/>
      <c r="M245" s="702">
        <v>0.9</v>
      </c>
      <c r="N245" s="444"/>
      <c r="O245" s="518" t="s">
        <v>1703</v>
      </c>
      <c r="P245" s="444"/>
      <c r="Q245" s="50"/>
      <c r="R245" s="50"/>
      <c r="S245" s="50"/>
      <c r="T245" s="50"/>
      <c r="U245" s="50"/>
      <c r="V245" s="50"/>
      <c r="W245" s="50"/>
      <c r="X245" s="50"/>
      <c r="Y245" s="50"/>
      <c r="Z245" s="50"/>
      <c r="AA245" s="783"/>
      <c r="AB245" s="781"/>
      <c r="AC245" s="781"/>
      <c r="AD245" s="781"/>
      <c r="AE245" s="781"/>
      <c r="AF245" s="783"/>
      <c r="AG245" s="781"/>
      <c r="AH245" s="781"/>
      <c r="AI245" s="781"/>
      <c r="AJ245" s="781"/>
      <c r="AK245" s="783"/>
      <c r="AL245" s="781"/>
      <c r="AM245" s="781"/>
      <c r="AN245" s="781"/>
      <c r="AO245" s="781"/>
      <c r="AP245" s="783"/>
      <c r="AQ245" s="781"/>
      <c r="AR245" s="781"/>
      <c r="AS245" s="781"/>
      <c r="AT245" s="781"/>
      <c r="AU245" s="783"/>
      <c r="AV245" s="781"/>
      <c r="AW245" s="781"/>
      <c r="AX245" s="781"/>
      <c r="AY245" s="781"/>
      <c r="AZ245" s="783"/>
      <c r="BA245" s="781"/>
      <c r="BB245" s="781"/>
      <c r="BC245" s="781"/>
      <c r="BD245" s="781"/>
      <c r="BE245" s="783"/>
      <c r="BF245" s="781"/>
      <c r="BG245" s="781"/>
      <c r="BH245" s="781"/>
      <c r="BI245" s="781"/>
      <c r="BJ245" s="783"/>
      <c r="BK245" s="781"/>
      <c r="BL245" s="781"/>
      <c r="BM245" s="781"/>
      <c r="BN245" s="781"/>
      <c r="BO245" s="783"/>
      <c r="BP245" s="781"/>
      <c r="BQ245" s="781"/>
      <c r="BR245" s="781"/>
      <c r="BS245" s="781"/>
      <c r="BT245" s="783"/>
      <c r="BU245" s="781"/>
      <c r="BV245" s="781"/>
      <c r="BW245" s="781"/>
      <c r="BX245" s="781"/>
      <c r="BY245" s="783"/>
      <c r="BZ245" s="781"/>
      <c r="CA245" s="781"/>
      <c r="CB245" s="781"/>
      <c r="CC245" s="781"/>
      <c r="CD245" s="783"/>
      <c r="CE245" s="781"/>
      <c r="CF245" s="781"/>
      <c r="CG245" s="781"/>
      <c r="CH245" s="781"/>
      <c r="CI245" s="774"/>
      <c r="CJ245" s="792"/>
      <c r="CK245" s="792"/>
      <c r="CL245" s="792"/>
      <c r="CM245" s="792"/>
      <c r="CN245" s="774"/>
      <c r="CO245" s="792"/>
      <c r="CP245" s="792"/>
      <c r="CQ245" s="792"/>
      <c r="CR245" s="792"/>
      <c r="CS245" s="776"/>
      <c r="CT245" s="14"/>
    </row>
    <row r="246" spans="1:98" x14ac:dyDescent="0.3">
      <c r="A246" s="362" t="s">
        <v>498</v>
      </c>
      <c r="B246" s="789" t="s">
        <v>499</v>
      </c>
      <c r="C246" s="789"/>
      <c r="D246" s="789"/>
      <c r="E246" s="789"/>
      <c r="F246" s="789"/>
      <c r="G246" s="789"/>
      <c r="H246" s="789"/>
      <c r="I246" s="789"/>
      <c r="J246" s="789"/>
      <c r="K246" s="789"/>
      <c r="L246" s="789"/>
      <c r="M246" s="789"/>
      <c r="N246" s="789"/>
      <c r="O246" s="789"/>
      <c r="P246" s="789"/>
      <c r="Q246" s="789"/>
      <c r="R246" s="789"/>
      <c r="S246" s="789"/>
      <c r="T246" s="789"/>
      <c r="U246" s="789"/>
      <c r="V246" s="789"/>
      <c r="W246" s="789"/>
      <c r="X246" s="789"/>
      <c r="Y246" s="789"/>
      <c r="Z246" s="789"/>
      <c r="AA246" s="789"/>
      <c r="AB246" s="789"/>
      <c r="AC246" s="789"/>
      <c r="AD246" s="789"/>
      <c r="AE246" s="789"/>
      <c r="AF246" s="789"/>
      <c r="AG246" s="789"/>
      <c r="AH246" s="789"/>
      <c r="AI246" s="789"/>
      <c r="AJ246" s="789"/>
      <c r="AK246" s="789"/>
      <c r="AL246" s="789"/>
      <c r="AM246" s="789"/>
      <c r="AN246" s="789"/>
      <c r="AO246" s="789"/>
      <c r="AP246" s="789"/>
      <c r="AQ246" s="789"/>
      <c r="AR246" s="789"/>
      <c r="AS246" s="789"/>
      <c r="AT246" s="789"/>
      <c r="AU246" s="789"/>
      <c r="AV246" s="789"/>
      <c r="AW246" s="789"/>
      <c r="AX246" s="789"/>
      <c r="AY246" s="789"/>
      <c r="AZ246" s="789"/>
      <c r="BA246" s="789"/>
      <c r="BB246" s="789"/>
      <c r="BC246" s="789"/>
      <c r="BD246" s="789"/>
      <c r="BE246" s="789"/>
      <c r="BF246" s="789"/>
      <c r="BG246" s="789"/>
      <c r="BH246" s="789"/>
      <c r="BI246" s="789"/>
      <c r="BJ246" s="789"/>
      <c r="BK246" s="789"/>
      <c r="BL246" s="789"/>
      <c r="BM246" s="789"/>
      <c r="BN246" s="789"/>
      <c r="BO246" s="789"/>
      <c r="BP246" s="789"/>
      <c r="BQ246" s="789"/>
      <c r="BR246" s="789"/>
      <c r="BS246" s="789"/>
      <c r="BT246" s="789"/>
      <c r="BU246" s="789"/>
      <c r="BV246" s="789"/>
      <c r="BW246" s="789"/>
      <c r="BX246" s="789"/>
      <c r="BY246" s="789"/>
      <c r="BZ246" s="789"/>
      <c r="CA246" s="789"/>
      <c r="CB246" s="789"/>
      <c r="CC246" s="789"/>
      <c r="CD246" s="789"/>
      <c r="CE246" s="789"/>
      <c r="CF246" s="789"/>
      <c r="CG246" s="789"/>
      <c r="CH246" s="789"/>
      <c r="CI246" s="789"/>
      <c r="CJ246" s="789"/>
      <c r="CK246" s="789"/>
      <c r="CL246" s="789"/>
      <c r="CM246" s="789"/>
      <c r="CN246" s="277">
        <f>CN247+CN248+CN249+CN250+CN251+CN252+CN253+CN254+CN255+CN256+CN257+CN258+CN259+CN260+CN261+CN262</f>
        <v>23936233.899999999</v>
      </c>
      <c r="CO246" s="277">
        <f t="shared" ref="CO246:CS246" si="619">CO247+CO248+CO249+CO250+CO251+CO252+CO253+CO254+CO255+CO256+CO257+CO258+CO259+CO260+CO261+CO262</f>
        <v>81112.399999999994</v>
      </c>
      <c r="CP246" s="277">
        <f t="shared" si="619"/>
        <v>0</v>
      </c>
      <c r="CQ246" s="277">
        <f t="shared" si="619"/>
        <v>0</v>
      </c>
      <c r="CR246" s="277">
        <f t="shared" si="619"/>
        <v>9853120.5</v>
      </c>
      <c r="CS246" s="273">
        <f t="shared" si="619"/>
        <v>14002001</v>
      </c>
    </row>
    <row r="247" spans="1:98" s="5" customFormat="1" ht="384" x14ac:dyDescent="0.3">
      <c r="A247" s="504" t="s">
        <v>500</v>
      </c>
      <c r="B247" s="498" t="s">
        <v>501</v>
      </c>
      <c r="C247" s="81" t="s">
        <v>502</v>
      </c>
      <c r="D247" s="476" t="s">
        <v>842</v>
      </c>
      <c r="E247" s="476" t="s">
        <v>49</v>
      </c>
      <c r="F247" s="500" t="s">
        <v>1651</v>
      </c>
      <c r="G247" s="476"/>
      <c r="H247" s="527"/>
      <c r="I247" s="476"/>
      <c r="J247" s="634"/>
      <c r="K247" s="476"/>
      <c r="L247" s="634"/>
      <c r="M247" s="657"/>
      <c r="N247" s="598" t="s">
        <v>1550</v>
      </c>
      <c r="O247" s="617" t="s">
        <v>1550</v>
      </c>
      <c r="P247" s="582"/>
      <c r="Q247" s="476"/>
      <c r="R247" s="476"/>
      <c r="S247" s="476"/>
      <c r="T247" s="476"/>
      <c r="U247" s="476"/>
      <c r="V247" s="476" t="s">
        <v>118</v>
      </c>
      <c r="W247" s="476"/>
      <c r="X247" s="476"/>
      <c r="Y247" s="476"/>
      <c r="Z247" s="476"/>
      <c r="AA247" s="70"/>
      <c r="AB247" s="70"/>
      <c r="AC247" s="70"/>
      <c r="AD247" s="70"/>
      <c r="AE247" s="70"/>
      <c r="AF247" s="70"/>
      <c r="AG247" s="70"/>
      <c r="AH247" s="70"/>
      <c r="AI247" s="70"/>
      <c r="AJ247" s="70"/>
      <c r="AK247" s="70"/>
      <c r="AL247" s="70"/>
      <c r="AM247" s="70"/>
      <c r="AN247" s="70"/>
      <c r="AO247" s="70"/>
      <c r="AP247" s="77"/>
      <c r="AQ247" s="70"/>
      <c r="AR247" s="70"/>
      <c r="AS247" s="70"/>
      <c r="AT247" s="70"/>
      <c r="AU247" s="77"/>
      <c r="AV247" s="70"/>
      <c r="AW247" s="70"/>
      <c r="AX247" s="70"/>
      <c r="AY247" s="70"/>
      <c r="AZ247" s="77"/>
      <c r="BA247" s="70"/>
      <c r="BB247" s="70"/>
      <c r="BC247" s="70"/>
      <c r="BD247" s="70"/>
      <c r="BE247" s="77"/>
      <c r="BF247" s="70"/>
      <c r="BG247" s="70"/>
      <c r="BH247" s="70"/>
      <c r="BI247" s="70"/>
      <c r="BJ247" s="77"/>
      <c r="BK247" s="70"/>
      <c r="BL247" s="70"/>
      <c r="BM247" s="70"/>
      <c r="BN247" s="70"/>
      <c r="BO247" s="77"/>
      <c r="BP247" s="70"/>
      <c r="BQ247" s="70"/>
      <c r="BR247" s="70"/>
      <c r="BS247" s="70"/>
      <c r="BT247" s="77"/>
      <c r="BU247" s="70"/>
      <c r="BV247" s="70"/>
      <c r="BW247" s="70"/>
      <c r="BX247" s="70"/>
      <c r="BY247" s="77"/>
      <c r="BZ247" s="70"/>
      <c r="CA247" s="70"/>
      <c r="CB247" s="70"/>
      <c r="CC247" s="70"/>
      <c r="CD247" s="77"/>
      <c r="CE247" s="70"/>
      <c r="CF247" s="70"/>
      <c r="CG247" s="70"/>
      <c r="CH247" s="70"/>
      <c r="CI247" s="501">
        <f t="shared" ref="CI247" si="620">AA247+AF247+AK247</f>
        <v>0</v>
      </c>
      <c r="CJ247" s="492">
        <f t="shared" ref="CJ247" si="621">AB247+AG247+AL247</f>
        <v>0</v>
      </c>
      <c r="CK247" s="492">
        <f t="shared" ref="CK247" si="622">AC247+AH247+AM247</f>
        <v>0</v>
      </c>
      <c r="CL247" s="492">
        <f t="shared" ref="CL247" si="623">AD247+AI247+AN247</f>
        <v>0</v>
      </c>
      <c r="CM247" s="492">
        <f t="shared" ref="CM247" si="624">AE247+AJ247+AO247</f>
        <v>0</v>
      </c>
      <c r="CN247" s="501">
        <f t="shared" ref="CN247:CN262" si="625">AA247+AF247+AK247+AP247+AU247+AZ247+BE247+BJ247+BO247+BT247+BY247+CD247</f>
        <v>0</v>
      </c>
      <c r="CO247" s="492">
        <f t="shared" ref="CO247:CO262" si="626">AB247+AG247+AL247+AQ247+AV247+BA247+BF247+BK247+BP247+BU247+BZ247+CE247</f>
        <v>0</v>
      </c>
      <c r="CP247" s="492">
        <f t="shared" ref="CP247:CP262" si="627">AC247+AH247+AM247+AR247+AW247+BB247+BG247+BL247+BQ247+BV247+CA247+CF247</f>
        <v>0</v>
      </c>
      <c r="CQ247" s="492">
        <f t="shared" ref="CQ247:CQ262" si="628">AD247+AI247+AN247+AS247+AX247+BC247+BH247+BM247+BR247+BW247+CB247+CG247</f>
        <v>0</v>
      </c>
      <c r="CR247" s="492">
        <f t="shared" ref="CR247:CR262" si="629">AE247+AJ247+AO247+AT247+AY247+BD247+BI247+BN247+BS247+BX247+CC247+CH247</f>
        <v>0</v>
      </c>
      <c r="CS247" s="501">
        <f>CN247-CO247-CP247-CQ247-CR247</f>
        <v>0</v>
      </c>
      <c r="CT247" s="471"/>
    </row>
    <row r="248" spans="1:98" s="5" customFormat="1" ht="409.5" x14ac:dyDescent="0.3">
      <c r="A248" s="862" t="s">
        <v>503</v>
      </c>
      <c r="B248" s="839" t="s">
        <v>504</v>
      </c>
      <c r="C248" s="498" t="s">
        <v>1137</v>
      </c>
      <c r="D248" s="714" t="s">
        <v>1184</v>
      </c>
      <c r="E248" s="714" t="s">
        <v>36</v>
      </c>
      <c r="F248" s="481" t="s">
        <v>505</v>
      </c>
      <c r="G248" s="503" t="s">
        <v>1478</v>
      </c>
      <c r="H248" s="139">
        <v>3004.88</v>
      </c>
      <c r="I248" s="139">
        <v>2560.5</v>
      </c>
      <c r="J248" s="139">
        <v>2483.6999999999998</v>
      </c>
      <c r="K248" s="139">
        <v>2432.8000000000002</v>
      </c>
      <c r="L248" s="139">
        <v>2410</v>
      </c>
      <c r="M248" s="642">
        <v>2754.8</v>
      </c>
      <c r="N248" s="607"/>
      <c r="O248" s="617" t="s">
        <v>1636</v>
      </c>
      <c r="P248" s="512"/>
      <c r="Q248" s="139">
        <v>2410</v>
      </c>
      <c r="R248" s="476"/>
      <c r="S248" s="476"/>
      <c r="T248" s="476"/>
      <c r="U248" s="476"/>
      <c r="V248" s="476"/>
      <c r="W248" s="476"/>
      <c r="X248" s="476"/>
      <c r="Y248" s="476"/>
      <c r="Z248" s="476"/>
      <c r="AA248" s="494">
        <f>SUM(AB248:AE248)</f>
        <v>70503.199999999997</v>
      </c>
      <c r="AB248" s="491">
        <v>28557</v>
      </c>
      <c r="AC248" s="491"/>
      <c r="AD248" s="491"/>
      <c r="AE248" s="491">
        <v>41946.2</v>
      </c>
      <c r="AF248" s="494">
        <f>SUM(AG248:AJ248)</f>
        <v>38662.300000000003</v>
      </c>
      <c r="AG248" s="491">
        <v>3199</v>
      </c>
      <c r="AH248" s="491"/>
      <c r="AI248" s="491"/>
      <c r="AJ248" s="491">
        <v>35463.300000000003</v>
      </c>
      <c r="AK248" s="494">
        <f>SUM(AL248:AO248)</f>
        <v>69582.8</v>
      </c>
      <c r="AL248" s="491">
        <v>32520</v>
      </c>
      <c r="AM248" s="491"/>
      <c r="AN248" s="491"/>
      <c r="AO248" s="491">
        <v>37062.800000000003</v>
      </c>
      <c r="AP248" s="494">
        <v>59582.8</v>
      </c>
      <c r="AQ248" s="491"/>
      <c r="AR248" s="491"/>
      <c r="AS248" s="491"/>
      <c r="AT248" s="491"/>
      <c r="AU248" s="494">
        <v>59582.8</v>
      </c>
      <c r="AV248" s="491"/>
      <c r="AW248" s="491"/>
      <c r="AX248" s="491"/>
      <c r="AY248" s="491"/>
      <c r="AZ248" s="494">
        <v>59582.8</v>
      </c>
      <c r="BA248" s="491"/>
      <c r="BB248" s="491"/>
      <c r="BC248" s="491"/>
      <c r="BD248" s="491"/>
      <c r="BE248" s="494">
        <v>59582.8</v>
      </c>
      <c r="BF248" s="491"/>
      <c r="BG248" s="491"/>
      <c r="BH248" s="491"/>
      <c r="BI248" s="491"/>
      <c r="BJ248" s="494">
        <v>59582.8</v>
      </c>
      <c r="BK248" s="491"/>
      <c r="BL248" s="491"/>
      <c r="BM248" s="491"/>
      <c r="BN248" s="491"/>
      <c r="BO248" s="494">
        <v>59582.8</v>
      </c>
      <c r="BP248" s="491"/>
      <c r="BQ248" s="491"/>
      <c r="BR248" s="491"/>
      <c r="BS248" s="491"/>
      <c r="BT248" s="494">
        <v>59582.8</v>
      </c>
      <c r="BU248" s="491"/>
      <c r="BV248" s="491"/>
      <c r="BW248" s="491"/>
      <c r="BX248" s="491"/>
      <c r="BY248" s="494">
        <v>59582.8</v>
      </c>
      <c r="BZ248" s="491"/>
      <c r="CA248" s="491"/>
      <c r="CB248" s="491"/>
      <c r="CC248" s="491"/>
      <c r="CD248" s="494">
        <v>59582.8</v>
      </c>
      <c r="CE248" s="491"/>
      <c r="CF248" s="491"/>
      <c r="CG248" s="491"/>
      <c r="CH248" s="491"/>
      <c r="CI248" s="501">
        <f t="shared" ref="CI248:CI251" si="630">AA248+AF248+AK248</f>
        <v>178748.3</v>
      </c>
      <c r="CJ248" s="492">
        <f t="shared" ref="CJ248:CJ251" si="631">AB248+AG248+AL248</f>
        <v>64276</v>
      </c>
      <c r="CK248" s="492">
        <f t="shared" ref="CK248:CK251" si="632">AC248+AH248+AM248</f>
        <v>0</v>
      </c>
      <c r="CL248" s="492">
        <f t="shared" ref="CL248:CL251" si="633">AD248+AI248+AN248</f>
        <v>0</v>
      </c>
      <c r="CM248" s="492">
        <f t="shared" ref="CM248:CM251" si="634">AE248+AJ248+AO248</f>
        <v>114472.3</v>
      </c>
      <c r="CN248" s="501">
        <f t="shared" si="625"/>
        <v>714993.50000000012</v>
      </c>
      <c r="CO248" s="492">
        <f t="shared" si="626"/>
        <v>64276</v>
      </c>
      <c r="CP248" s="492">
        <f t="shared" si="627"/>
        <v>0</v>
      </c>
      <c r="CQ248" s="492">
        <f t="shared" si="628"/>
        <v>0</v>
      </c>
      <c r="CR248" s="492">
        <f t="shared" si="629"/>
        <v>114472.3</v>
      </c>
      <c r="CS248" s="501">
        <f>CN248-CO248-CP248-CQ248-CR248</f>
        <v>536245.20000000007</v>
      </c>
      <c r="CT248" s="472"/>
    </row>
    <row r="249" spans="1:98" s="5" customFormat="1" ht="92.25" customHeight="1" x14ac:dyDescent="0.3">
      <c r="A249" s="869"/>
      <c r="B249" s="856"/>
      <c r="C249" s="498" t="s">
        <v>507</v>
      </c>
      <c r="D249" s="748"/>
      <c r="E249" s="748"/>
      <c r="F249" s="481" t="s">
        <v>508</v>
      </c>
      <c r="G249" s="503" t="s">
        <v>62</v>
      </c>
      <c r="H249" s="126">
        <v>33</v>
      </c>
      <c r="I249" s="477">
        <v>30</v>
      </c>
      <c r="J249" s="630">
        <v>26</v>
      </c>
      <c r="K249" s="477" t="s">
        <v>140</v>
      </c>
      <c r="L249" s="630">
        <v>22</v>
      </c>
      <c r="M249" s="702" t="s">
        <v>140</v>
      </c>
      <c r="N249" s="598" t="s">
        <v>1550</v>
      </c>
      <c r="O249" s="777" t="s">
        <v>1715</v>
      </c>
      <c r="P249" s="714"/>
      <c r="Q249" s="477">
        <v>22</v>
      </c>
      <c r="R249" s="477">
        <v>19</v>
      </c>
      <c r="S249" s="477">
        <v>16</v>
      </c>
      <c r="T249" s="477">
        <v>13</v>
      </c>
      <c r="U249" s="477">
        <v>10</v>
      </c>
      <c r="V249" s="503"/>
      <c r="W249" s="503"/>
      <c r="X249" s="503"/>
      <c r="Y249" s="503"/>
      <c r="Z249" s="503"/>
      <c r="AA249" s="494">
        <f t="shared" ref="AA249:AA252" si="635">SUM(AB249:AE249)</f>
        <v>748744</v>
      </c>
      <c r="AB249" s="491"/>
      <c r="AC249" s="491"/>
      <c r="AD249" s="491"/>
      <c r="AE249" s="491">
        <v>748744</v>
      </c>
      <c r="AF249" s="494">
        <f t="shared" ref="AF249:AF252" si="636">SUM(AG249:AJ249)</f>
        <v>901469</v>
      </c>
      <c r="AG249" s="491"/>
      <c r="AH249" s="491"/>
      <c r="AI249" s="491"/>
      <c r="AJ249" s="491">
        <v>901469</v>
      </c>
      <c r="AK249" s="494">
        <f t="shared" ref="AK249:AK252" si="637">SUM(AL249:AO249)</f>
        <v>901469</v>
      </c>
      <c r="AL249" s="491"/>
      <c r="AM249" s="491"/>
      <c r="AN249" s="491"/>
      <c r="AO249" s="491">
        <v>901469</v>
      </c>
      <c r="AP249" s="138">
        <v>901469</v>
      </c>
      <c r="AQ249" s="491"/>
      <c r="AR249" s="491"/>
      <c r="AS249" s="491"/>
      <c r="AT249" s="491"/>
      <c r="AU249" s="138">
        <v>775229</v>
      </c>
      <c r="AV249" s="491"/>
      <c r="AW249" s="491"/>
      <c r="AX249" s="491"/>
      <c r="AY249" s="491"/>
      <c r="AZ249" s="138">
        <v>742382</v>
      </c>
      <c r="BA249" s="491"/>
      <c r="BB249" s="491"/>
      <c r="BC249" s="491"/>
      <c r="BD249" s="491"/>
      <c r="BE249" s="138">
        <v>740491</v>
      </c>
      <c r="BF249" s="491"/>
      <c r="BG249" s="491"/>
      <c r="BH249" s="491"/>
      <c r="BI249" s="491"/>
      <c r="BJ249" s="494"/>
      <c r="BK249" s="491"/>
      <c r="BL249" s="491"/>
      <c r="BM249" s="491"/>
      <c r="BN249" s="491"/>
      <c r="BO249" s="494"/>
      <c r="BP249" s="491"/>
      <c r="BQ249" s="491"/>
      <c r="BR249" s="491"/>
      <c r="BS249" s="491"/>
      <c r="BT249" s="494"/>
      <c r="BU249" s="491"/>
      <c r="BV249" s="491"/>
      <c r="BW249" s="491"/>
      <c r="BX249" s="491"/>
      <c r="BY249" s="494"/>
      <c r="BZ249" s="491"/>
      <c r="CA249" s="491"/>
      <c r="CB249" s="491"/>
      <c r="CC249" s="491"/>
      <c r="CD249" s="494"/>
      <c r="CE249" s="491"/>
      <c r="CF249" s="491"/>
      <c r="CG249" s="491"/>
      <c r="CH249" s="491"/>
      <c r="CI249" s="501">
        <f t="shared" si="630"/>
        <v>2551682</v>
      </c>
      <c r="CJ249" s="492">
        <f t="shared" si="631"/>
        <v>0</v>
      </c>
      <c r="CK249" s="492">
        <f t="shared" si="632"/>
        <v>0</v>
      </c>
      <c r="CL249" s="492">
        <f t="shared" si="633"/>
        <v>0</v>
      </c>
      <c r="CM249" s="492">
        <f t="shared" si="634"/>
        <v>2551682</v>
      </c>
      <c r="CN249" s="501">
        <f t="shared" si="625"/>
        <v>5711253</v>
      </c>
      <c r="CO249" s="492">
        <f t="shared" si="626"/>
        <v>0</v>
      </c>
      <c r="CP249" s="492">
        <f t="shared" si="627"/>
        <v>0</v>
      </c>
      <c r="CQ249" s="492">
        <f t="shared" si="628"/>
        <v>0</v>
      </c>
      <c r="CR249" s="492">
        <f t="shared" si="629"/>
        <v>2551682</v>
      </c>
      <c r="CS249" s="501">
        <f>CN249-CO249-CP249-CQ249-CR249</f>
        <v>3159571</v>
      </c>
      <c r="CT249" s="471"/>
    </row>
    <row r="250" spans="1:98" s="5" customFormat="1" ht="86.25" customHeight="1" x14ac:dyDescent="0.3">
      <c r="A250" s="869"/>
      <c r="B250" s="856"/>
      <c r="C250" s="498" t="s">
        <v>1342</v>
      </c>
      <c r="D250" s="748"/>
      <c r="E250" s="748"/>
      <c r="F250" s="481" t="s">
        <v>508</v>
      </c>
      <c r="G250" s="503" t="s">
        <v>62</v>
      </c>
      <c r="H250" s="126">
        <v>73.3</v>
      </c>
      <c r="I250" s="210">
        <v>72</v>
      </c>
      <c r="J250" s="210">
        <v>71</v>
      </c>
      <c r="K250" s="477" t="s">
        <v>140</v>
      </c>
      <c r="L250" s="210">
        <v>68</v>
      </c>
      <c r="M250" s="702" t="s">
        <v>140</v>
      </c>
      <c r="N250" s="598" t="s">
        <v>1550</v>
      </c>
      <c r="O250" s="784"/>
      <c r="P250" s="748"/>
      <c r="Q250" s="210">
        <v>68</v>
      </c>
      <c r="R250" s="210">
        <v>65</v>
      </c>
      <c r="S250" s="210">
        <v>63</v>
      </c>
      <c r="T250" s="210">
        <v>60</v>
      </c>
      <c r="U250" s="210">
        <v>58</v>
      </c>
      <c r="V250" s="503"/>
      <c r="W250" s="503"/>
      <c r="X250" s="503"/>
      <c r="Y250" s="503"/>
      <c r="Z250" s="503"/>
      <c r="AA250" s="494">
        <f t="shared" si="635"/>
        <v>2024386</v>
      </c>
      <c r="AB250" s="491"/>
      <c r="AC250" s="491"/>
      <c r="AD250" s="491"/>
      <c r="AE250" s="491">
        <v>2024386</v>
      </c>
      <c r="AF250" s="494">
        <f t="shared" si="636"/>
        <v>2039617</v>
      </c>
      <c r="AG250" s="491"/>
      <c r="AH250" s="491"/>
      <c r="AI250" s="491"/>
      <c r="AJ250" s="491">
        <v>2039617</v>
      </c>
      <c r="AK250" s="494">
        <f t="shared" si="637"/>
        <v>1768464</v>
      </c>
      <c r="AL250" s="491"/>
      <c r="AM250" s="491"/>
      <c r="AN250" s="491"/>
      <c r="AO250" s="491">
        <v>1768464</v>
      </c>
      <c r="AP250" s="138">
        <v>1732120</v>
      </c>
      <c r="AQ250" s="491"/>
      <c r="AR250" s="491"/>
      <c r="AS250" s="491"/>
      <c r="AT250" s="491"/>
      <c r="AU250" s="138">
        <v>1487608</v>
      </c>
      <c r="AV250" s="491"/>
      <c r="AW250" s="491"/>
      <c r="AX250" s="491"/>
      <c r="AY250" s="491"/>
      <c r="AZ250" s="138">
        <v>1102879</v>
      </c>
      <c r="BA250" s="491"/>
      <c r="BB250" s="491"/>
      <c r="BC250" s="491"/>
      <c r="BD250" s="491"/>
      <c r="BE250" s="138">
        <v>861503</v>
      </c>
      <c r="BF250" s="491"/>
      <c r="BG250" s="491"/>
      <c r="BH250" s="491"/>
      <c r="BI250" s="491"/>
      <c r="BJ250" s="494"/>
      <c r="BK250" s="491"/>
      <c r="BL250" s="491"/>
      <c r="BM250" s="491"/>
      <c r="BN250" s="491"/>
      <c r="BO250" s="494"/>
      <c r="BP250" s="491"/>
      <c r="BQ250" s="491"/>
      <c r="BR250" s="491"/>
      <c r="BS250" s="491"/>
      <c r="BT250" s="494"/>
      <c r="BU250" s="491"/>
      <c r="BV250" s="491"/>
      <c r="BW250" s="491"/>
      <c r="BX250" s="491"/>
      <c r="BY250" s="494"/>
      <c r="BZ250" s="491"/>
      <c r="CA250" s="491"/>
      <c r="CB250" s="491"/>
      <c r="CC250" s="491"/>
      <c r="CD250" s="494"/>
      <c r="CE250" s="491"/>
      <c r="CF250" s="491"/>
      <c r="CG250" s="491"/>
      <c r="CH250" s="491"/>
      <c r="CI250" s="501">
        <f t="shared" si="630"/>
        <v>5832467</v>
      </c>
      <c r="CJ250" s="492">
        <f t="shared" si="631"/>
        <v>0</v>
      </c>
      <c r="CK250" s="492">
        <f t="shared" si="632"/>
        <v>0</v>
      </c>
      <c r="CL250" s="492">
        <f t="shared" si="633"/>
        <v>0</v>
      </c>
      <c r="CM250" s="492">
        <f t="shared" si="634"/>
        <v>5832467</v>
      </c>
      <c r="CN250" s="501">
        <f t="shared" si="625"/>
        <v>11016577</v>
      </c>
      <c r="CO250" s="492">
        <f t="shared" si="626"/>
        <v>0</v>
      </c>
      <c r="CP250" s="492">
        <f t="shared" si="627"/>
        <v>0</v>
      </c>
      <c r="CQ250" s="492">
        <f t="shared" si="628"/>
        <v>0</v>
      </c>
      <c r="CR250" s="492">
        <f t="shared" si="629"/>
        <v>5832467</v>
      </c>
      <c r="CS250" s="501">
        <f>CN250-CO250-CP250-CQ250-CR250</f>
        <v>5184110</v>
      </c>
      <c r="CT250" s="471"/>
    </row>
    <row r="251" spans="1:98" s="5" customFormat="1" ht="120" x14ac:dyDescent="0.3">
      <c r="A251" s="869"/>
      <c r="B251" s="856"/>
      <c r="C251" s="498" t="s">
        <v>1037</v>
      </c>
      <c r="D251" s="748"/>
      <c r="E251" s="748"/>
      <c r="F251" s="481" t="s">
        <v>510</v>
      </c>
      <c r="G251" s="503" t="s">
        <v>62</v>
      </c>
      <c r="H251" s="529">
        <v>77.8</v>
      </c>
      <c r="I251" s="478">
        <v>86</v>
      </c>
      <c r="J251" s="632">
        <v>81.8</v>
      </c>
      <c r="K251" s="477" t="s">
        <v>140</v>
      </c>
      <c r="L251" s="632">
        <v>81.8</v>
      </c>
      <c r="M251" s="664" t="s">
        <v>140</v>
      </c>
      <c r="N251" s="598" t="s">
        <v>1550</v>
      </c>
      <c r="O251" s="778"/>
      <c r="P251" s="715"/>
      <c r="Q251" s="478">
        <v>81.8</v>
      </c>
      <c r="R251" s="478">
        <v>77.8</v>
      </c>
      <c r="S251" s="478">
        <v>70.2</v>
      </c>
      <c r="T251" s="478">
        <v>63.3</v>
      </c>
      <c r="U251" s="478">
        <v>56.9</v>
      </c>
      <c r="V251" s="503"/>
      <c r="W251" s="503"/>
      <c r="X251" s="503"/>
      <c r="Y251" s="503"/>
      <c r="Z251" s="503"/>
      <c r="AA251" s="494">
        <f t="shared" si="635"/>
        <v>319592.2</v>
      </c>
      <c r="AB251" s="491"/>
      <c r="AC251" s="491"/>
      <c r="AD251" s="491"/>
      <c r="AE251" s="491">
        <v>319592.2</v>
      </c>
      <c r="AF251" s="494">
        <f t="shared" si="636"/>
        <v>108207</v>
      </c>
      <c r="AG251" s="491"/>
      <c r="AH251" s="491"/>
      <c r="AI251" s="491"/>
      <c r="AJ251" s="491">
        <v>108207</v>
      </c>
      <c r="AK251" s="494"/>
      <c r="AL251" s="491"/>
      <c r="AM251" s="491"/>
      <c r="AN251" s="491"/>
      <c r="AO251" s="491"/>
      <c r="AP251" s="138"/>
      <c r="AQ251" s="491"/>
      <c r="AR251" s="491"/>
      <c r="AS251" s="491"/>
      <c r="AT251" s="491"/>
      <c r="AU251" s="138"/>
      <c r="AV251" s="491"/>
      <c r="AW251" s="491"/>
      <c r="AX251" s="491"/>
      <c r="AY251" s="491"/>
      <c r="AZ251" s="138"/>
      <c r="BA251" s="491"/>
      <c r="BB251" s="491"/>
      <c r="BC251" s="491"/>
      <c r="BD251" s="491"/>
      <c r="BE251" s="494"/>
      <c r="BF251" s="491"/>
      <c r="BG251" s="491"/>
      <c r="BH251" s="491"/>
      <c r="BI251" s="491"/>
      <c r="BJ251" s="494"/>
      <c r="BK251" s="491"/>
      <c r="BL251" s="491"/>
      <c r="BM251" s="491"/>
      <c r="BN251" s="491"/>
      <c r="BO251" s="494"/>
      <c r="BP251" s="491"/>
      <c r="BQ251" s="491"/>
      <c r="BR251" s="491"/>
      <c r="BS251" s="491"/>
      <c r="BT251" s="494"/>
      <c r="BU251" s="491"/>
      <c r="BV251" s="491"/>
      <c r="BW251" s="491"/>
      <c r="BX251" s="491"/>
      <c r="BY251" s="494"/>
      <c r="BZ251" s="491"/>
      <c r="CA251" s="491"/>
      <c r="CB251" s="491"/>
      <c r="CC251" s="491"/>
      <c r="CD251" s="494"/>
      <c r="CE251" s="491"/>
      <c r="CF251" s="491"/>
      <c r="CG251" s="491"/>
      <c r="CH251" s="491"/>
      <c r="CI251" s="501">
        <f t="shared" si="630"/>
        <v>427799.2</v>
      </c>
      <c r="CJ251" s="492">
        <f t="shared" si="631"/>
        <v>0</v>
      </c>
      <c r="CK251" s="492">
        <f t="shared" si="632"/>
        <v>0</v>
      </c>
      <c r="CL251" s="492">
        <f t="shared" si="633"/>
        <v>0</v>
      </c>
      <c r="CM251" s="492">
        <f t="shared" si="634"/>
        <v>427799.2</v>
      </c>
      <c r="CN251" s="501">
        <f t="shared" si="625"/>
        <v>427799.2</v>
      </c>
      <c r="CO251" s="492">
        <f t="shared" si="626"/>
        <v>0</v>
      </c>
      <c r="CP251" s="492">
        <f t="shared" si="627"/>
        <v>0</v>
      </c>
      <c r="CQ251" s="492">
        <f t="shared" si="628"/>
        <v>0</v>
      </c>
      <c r="CR251" s="492">
        <f t="shared" si="629"/>
        <v>427799.2</v>
      </c>
      <c r="CS251" s="501">
        <f t="shared" ref="CS251:CS252" si="638">CN251-CO251-CP251-CQ251-CR251</f>
        <v>0</v>
      </c>
      <c r="CT251" s="471"/>
    </row>
    <row r="252" spans="1:98" s="5" customFormat="1" ht="168" x14ac:dyDescent="0.3">
      <c r="A252" s="863"/>
      <c r="B252" s="840"/>
      <c r="C252" s="383" t="s">
        <v>956</v>
      </c>
      <c r="D252" s="715"/>
      <c r="E252" s="715"/>
      <c r="F252" s="73" t="s">
        <v>511</v>
      </c>
      <c r="G252" s="390" t="s">
        <v>31</v>
      </c>
      <c r="H252" s="533">
        <v>0</v>
      </c>
      <c r="I252" s="390">
        <v>2</v>
      </c>
      <c r="J252" s="637">
        <v>2</v>
      </c>
      <c r="K252" s="521">
        <v>2</v>
      </c>
      <c r="L252" s="637">
        <v>4</v>
      </c>
      <c r="M252" s="643">
        <v>2</v>
      </c>
      <c r="N252" s="598"/>
      <c r="O252" s="699" t="s">
        <v>1725</v>
      </c>
      <c r="P252" s="582"/>
      <c r="Q252" s="390">
        <v>4</v>
      </c>
      <c r="R252" s="390">
        <v>5</v>
      </c>
      <c r="S252" s="390">
        <v>5</v>
      </c>
      <c r="T252" s="390">
        <v>5</v>
      </c>
      <c r="U252" s="390">
        <v>5</v>
      </c>
      <c r="V252" s="390">
        <v>5</v>
      </c>
      <c r="W252" s="390">
        <v>5</v>
      </c>
      <c r="X252" s="390">
        <v>5</v>
      </c>
      <c r="Y252" s="390">
        <v>5</v>
      </c>
      <c r="Z252" s="390">
        <v>5</v>
      </c>
      <c r="AA252" s="385">
        <f t="shared" si="635"/>
        <v>61000</v>
      </c>
      <c r="AB252" s="386"/>
      <c r="AC252" s="386"/>
      <c r="AD252" s="386"/>
      <c r="AE252" s="386">
        <v>61000</v>
      </c>
      <c r="AF252" s="385">
        <f t="shared" si="636"/>
        <v>61000</v>
      </c>
      <c r="AG252" s="386"/>
      <c r="AH252" s="386"/>
      <c r="AI252" s="386"/>
      <c r="AJ252" s="386">
        <v>61000</v>
      </c>
      <c r="AK252" s="385">
        <f t="shared" si="637"/>
        <v>804700</v>
      </c>
      <c r="AL252" s="386"/>
      <c r="AM252" s="386"/>
      <c r="AN252" s="386"/>
      <c r="AO252" s="386">
        <v>804700</v>
      </c>
      <c r="AP252" s="138">
        <v>743500</v>
      </c>
      <c r="AQ252" s="386"/>
      <c r="AR252" s="386"/>
      <c r="AS252" s="386"/>
      <c r="AT252" s="386"/>
      <c r="AU252" s="138">
        <v>29550</v>
      </c>
      <c r="AV252" s="386"/>
      <c r="AW252" s="386"/>
      <c r="AX252" s="386"/>
      <c r="AY252" s="386"/>
      <c r="AZ252" s="138">
        <v>29550</v>
      </c>
      <c r="BA252" s="386"/>
      <c r="BB252" s="386"/>
      <c r="BC252" s="386"/>
      <c r="BD252" s="386"/>
      <c r="BE252" s="385"/>
      <c r="BF252" s="386"/>
      <c r="BG252" s="386"/>
      <c r="BH252" s="386"/>
      <c r="BI252" s="386"/>
      <c r="BJ252" s="385"/>
      <c r="BK252" s="386"/>
      <c r="BL252" s="386"/>
      <c r="BM252" s="386"/>
      <c r="BN252" s="386"/>
      <c r="BO252" s="385"/>
      <c r="BP252" s="386"/>
      <c r="BQ252" s="386"/>
      <c r="BR252" s="386"/>
      <c r="BS252" s="386"/>
      <c r="BT252" s="385"/>
      <c r="BU252" s="386"/>
      <c r="BV252" s="386"/>
      <c r="BW252" s="386"/>
      <c r="BX252" s="386"/>
      <c r="BY252" s="385"/>
      <c r="BZ252" s="386"/>
      <c r="CA252" s="386"/>
      <c r="CB252" s="386"/>
      <c r="CC252" s="386"/>
      <c r="CD252" s="385"/>
      <c r="CE252" s="386"/>
      <c r="CF252" s="386"/>
      <c r="CG252" s="386"/>
      <c r="CH252" s="386"/>
      <c r="CI252" s="388">
        <f t="shared" ref="CI252:CI257" si="639">AA252+AF252+AK252</f>
        <v>926700</v>
      </c>
      <c r="CJ252" s="387">
        <f t="shared" ref="CJ252:CJ257" si="640">AB252+AG252+AL252</f>
        <v>0</v>
      </c>
      <c r="CK252" s="387">
        <f t="shared" ref="CK252:CK257" si="641">AC252+AH252+AM252</f>
        <v>0</v>
      </c>
      <c r="CL252" s="387">
        <f t="shared" ref="CL252:CL257" si="642">AD252+AI252+AN252</f>
        <v>0</v>
      </c>
      <c r="CM252" s="387">
        <f t="shared" ref="CM252:CM257" si="643">AE252+AJ252+AO252</f>
        <v>926700</v>
      </c>
      <c r="CN252" s="388">
        <f t="shared" si="625"/>
        <v>1729300</v>
      </c>
      <c r="CO252" s="387">
        <f t="shared" si="626"/>
        <v>0</v>
      </c>
      <c r="CP252" s="387">
        <f t="shared" si="627"/>
        <v>0</v>
      </c>
      <c r="CQ252" s="387">
        <f t="shared" si="628"/>
        <v>0</v>
      </c>
      <c r="CR252" s="387">
        <f t="shared" si="629"/>
        <v>926700</v>
      </c>
      <c r="CS252" s="388">
        <f t="shared" si="638"/>
        <v>802600</v>
      </c>
      <c r="CT252" s="472"/>
    </row>
    <row r="253" spans="1:98" s="5" customFormat="1" ht="288" x14ac:dyDescent="0.3">
      <c r="A253" s="190" t="s">
        <v>512</v>
      </c>
      <c r="B253" s="182" t="s">
        <v>513</v>
      </c>
      <c r="C253" s="182" t="s">
        <v>1343</v>
      </c>
      <c r="D253" s="187" t="s">
        <v>514</v>
      </c>
      <c r="E253" s="193" t="s">
        <v>515</v>
      </c>
      <c r="F253" s="74" t="s">
        <v>516</v>
      </c>
      <c r="G253" s="193" t="s">
        <v>117</v>
      </c>
      <c r="H253" s="527"/>
      <c r="I253" s="193" t="s">
        <v>118</v>
      </c>
      <c r="J253" s="634"/>
      <c r="K253" s="516" t="s">
        <v>140</v>
      </c>
      <c r="L253" s="634"/>
      <c r="M253" s="657" t="s">
        <v>118</v>
      </c>
      <c r="N253" s="628" t="s">
        <v>1562</v>
      </c>
      <c r="O253" s="699"/>
      <c r="P253" s="557"/>
      <c r="Q253" s="193"/>
      <c r="R253" s="193"/>
      <c r="S253" s="193"/>
      <c r="T253" s="193"/>
      <c r="U253" s="193"/>
      <c r="V253" s="193"/>
      <c r="W253" s="193"/>
      <c r="X253" s="193"/>
      <c r="Y253" s="193"/>
      <c r="Z253" s="193"/>
      <c r="AA253" s="165">
        <f>SUM(AB253:AE253)</f>
        <v>16836.400000000001</v>
      </c>
      <c r="AB253" s="164">
        <v>16836.400000000001</v>
      </c>
      <c r="AC253" s="164"/>
      <c r="AD253" s="164"/>
      <c r="AE253" s="164"/>
      <c r="AF253" s="165"/>
      <c r="AG253" s="164"/>
      <c r="AH253" s="164"/>
      <c r="AI253" s="164"/>
      <c r="AJ253" s="164"/>
      <c r="AK253" s="165"/>
      <c r="AL253" s="164"/>
      <c r="AM253" s="164"/>
      <c r="AN253" s="164"/>
      <c r="AO253" s="164"/>
      <c r="AP253" s="165"/>
      <c r="AQ253" s="164"/>
      <c r="AR253" s="164"/>
      <c r="AS253" s="164"/>
      <c r="AT253" s="164"/>
      <c r="AU253" s="165"/>
      <c r="AV253" s="164"/>
      <c r="AW253" s="164"/>
      <c r="AX253" s="164"/>
      <c r="AY253" s="164"/>
      <c r="AZ253" s="165"/>
      <c r="BA253" s="164"/>
      <c r="BB253" s="164"/>
      <c r="BC253" s="164"/>
      <c r="BD253" s="164"/>
      <c r="BE253" s="165"/>
      <c r="BF253" s="164"/>
      <c r="BG253" s="164"/>
      <c r="BH253" s="164"/>
      <c r="BI253" s="164"/>
      <c r="BJ253" s="165"/>
      <c r="BK253" s="164"/>
      <c r="BL253" s="164"/>
      <c r="BM253" s="164"/>
      <c r="BN253" s="164"/>
      <c r="BO253" s="165"/>
      <c r="BP253" s="164"/>
      <c r="BQ253" s="164"/>
      <c r="BR253" s="164"/>
      <c r="BS253" s="164"/>
      <c r="BT253" s="165"/>
      <c r="BU253" s="164"/>
      <c r="BV253" s="164"/>
      <c r="BW253" s="164"/>
      <c r="BX253" s="164"/>
      <c r="BY253" s="165"/>
      <c r="BZ253" s="164"/>
      <c r="CA253" s="164"/>
      <c r="CB253" s="164"/>
      <c r="CC253" s="164"/>
      <c r="CD253" s="165">
        <v>2244758.9</v>
      </c>
      <c r="CE253" s="164"/>
      <c r="CF253" s="164"/>
      <c r="CG253" s="164"/>
      <c r="CH253" s="164"/>
      <c r="CI253" s="181">
        <f t="shared" si="639"/>
        <v>16836.400000000001</v>
      </c>
      <c r="CJ253" s="180">
        <f t="shared" si="640"/>
        <v>16836.400000000001</v>
      </c>
      <c r="CK253" s="180">
        <f t="shared" si="641"/>
        <v>0</v>
      </c>
      <c r="CL253" s="180">
        <f t="shared" si="642"/>
        <v>0</v>
      </c>
      <c r="CM253" s="180">
        <f t="shared" si="643"/>
        <v>0</v>
      </c>
      <c r="CN253" s="181">
        <f t="shared" si="625"/>
        <v>2261595.2999999998</v>
      </c>
      <c r="CO253" s="180">
        <f t="shared" si="626"/>
        <v>16836.400000000001</v>
      </c>
      <c r="CP253" s="180">
        <f t="shared" si="627"/>
        <v>0</v>
      </c>
      <c r="CQ253" s="180">
        <f t="shared" si="628"/>
        <v>0</v>
      </c>
      <c r="CR253" s="180">
        <f t="shared" si="629"/>
        <v>0</v>
      </c>
      <c r="CS253" s="273">
        <f>CN253-CO253-CP253-CQ253-CR253</f>
        <v>2244758.9</v>
      </c>
      <c r="CT253" s="472"/>
    </row>
    <row r="254" spans="1:98" s="5" customFormat="1" ht="264" x14ac:dyDescent="0.3">
      <c r="A254" s="504" t="s">
        <v>517</v>
      </c>
      <c r="B254" s="498" t="s">
        <v>518</v>
      </c>
      <c r="C254" s="498" t="s">
        <v>1344</v>
      </c>
      <c r="D254" s="503" t="s">
        <v>514</v>
      </c>
      <c r="E254" s="476" t="s">
        <v>509</v>
      </c>
      <c r="F254" s="481" t="s">
        <v>971</v>
      </c>
      <c r="G254" s="503" t="s">
        <v>31</v>
      </c>
      <c r="H254" s="533"/>
      <c r="I254" s="503"/>
      <c r="J254" s="637">
        <v>1</v>
      </c>
      <c r="K254" s="503" t="s">
        <v>140</v>
      </c>
      <c r="L254" s="637"/>
      <c r="M254" s="643" t="s">
        <v>140</v>
      </c>
      <c r="N254" s="592" t="s">
        <v>1563</v>
      </c>
      <c r="O254" s="684"/>
      <c r="P254" s="556"/>
      <c r="Q254" s="503"/>
      <c r="R254" s="503"/>
      <c r="S254" s="476"/>
      <c r="T254" s="476"/>
      <c r="U254" s="476"/>
      <c r="V254" s="476"/>
      <c r="W254" s="476"/>
      <c r="X254" s="476"/>
      <c r="Y254" s="476"/>
      <c r="Z254" s="476"/>
      <c r="AA254" s="70"/>
      <c r="AB254" s="70"/>
      <c r="AC254" s="70"/>
      <c r="AD254" s="70"/>
      <c r="AE254" s="70"/>
      <c r="AF254" s="494">
        <v>169075.5</v>
      </c>
      <c r="AG254" s="491"/>
      <c r="AH254" s="491"/>
      <c r="AI254" s="70"/>
      <c r="AJ254" s="70"/>
      <c r="AK254" s="70"/>
      <c r="AL254" s="70"/>
      <c r="AM254" s="70"/>
      <c r="AN254" s="70"/>
      <c r="AO254" s="70"/>
      <c r="AP254" s="77"/>
      <c r="AQ254" s="70"/>
      <c r="AR254" s="70"/>
      <c r="AS254" s="70"/>
      <c r="AT254" s="70"/>
      <c r="AU254" s="77"/>
      <c r="AV254" s="70"/>
      <c r="AW254" s="70"/>
      <c r="AX254" s="70"/>
      <c r="AY254" s="70"/>
      <c r="AZ254" s="77"/>
      <c r="BA254" s="70"/>
      <c r="BB254" s="70"/>
      <c r="BC254" s="70"/>
      <c r="BD254" s="70"/>
      <c r="BE254" s="77"/>
      <c r="BF254" s="70"/>
      <c r="BG254" s="70"/>
      <c r="BH254" s="70"/>
      <c r="BI254" s="70"/>
      <c r="BJ254" s="77"/>
      <c r="BK254" s="70"/>
      <c r="BL254" s="70"/>
      <c r="BM254" s="70"/>
      <c r="BN254" s="70"/>
      <c r="BO254" s="77"/>
      <c r="BP254" s="70"/>
      <c r="BQ254" s="70"/>
      <c r="BR254" s="70"/>
      <c r="BS254" s="70"/>
      <c r="BT254" s="77"/>
      <c r="BU254" s="70"/>
      <c r="BV254" s="70"/>
      <c r="BW254" s="70"/>
      <c r="BX254" s="70"/>
      <c r="BY254" s="77"/>
      <c r="BZ254" s="70"/>
      <c r="CA254" s="70"/>
      <c r="CB254" s="70"/>
      <c r="CC254" s="70"/>
      <c r="CD254" s="494"/>
      <c r="CE254" s="491"/>
      <c r="CF254" s="491"/>
      <c r="CG254" s="491"/>
      <c r="CH254" s="491"/>
      <c r="CI254" s="501">
        <f t="shared" si="639"/>
        <v>169075.5</v>
      </c>
      <c r="CJ254" s="492">
        <f t="shared" si="640"/>
        <v>0</v>
      </c>
      <c r="CK254" s="492">
        <f t="shared" si="641"/>
        <v>0</v>
      </c>
      <c r="CL254" s="492">
        <f t="shared" si="642"/>
        <v>0</v>
      </c>
      <c r="CM254" s="492">
        <f t="shared" si="643"/>
        <v>0</v>
      </c>
      <c r="CN254" s="501">
        <f t="shared" si="625"/>
        <v>169075.5</v>
      </c>
      <c r="CO254" s="492">
        <f t="shared" si="626"/>
        <v>0</v>
      </c>
      <c r="CP254" s="492">
        <f t="shared" si="627"/>
        <v>0</v>
      </c>
      <c r="CQ254" s="492">
        <f t="shared" si="628"/>
        <v>0</v>
      </c>
      <c r="CR254" s="492">
        <f t="shared" si="629"/>
        <v>0</v>
      </c>
      <c r="CS254" s="501">
        <f t="shared" ref="CS254:CS256" si="644">CN254-CO254-CP254-CQ254-CR254</f>
        <v>169075.5</v>
      </c>
      <c r="CT254" s="472"/>
    </row>
    <row r="255" spans="1:98" s="5" customFormat="1" ht="144" x14ac:dyDescent="0.3">
      <c r="A255" s="391" t="s">
        <v>1106</v>
      </c>
      <c r="B255" s="383" t="s">
        <v>522</v>
      </c>
      <c r="C255" s="383" t="s">
        <v>523</v>
      </c>
      <c r="D255" s="380" t="s">
        <v>422</v>
      </c>
      <c r="E255" s="380" t="s">
        <v>325</v>
      </c>
      <c r="F255" s="381" t="s">
        <v>996</v>
      </c>
      <c r="G255" s="390" t="s">
        <v>62</v>
      </c>
      <c r="H255" s="533"/>
      <c r="I255" s="390"/>
      <c r="J255" s="637"/>
      <c r="K255" s="390"/>
      <c r="L255" s="637"/>
      <c r="M255" s="643"/>
      <c r="N255" s="592"/>
      <c r="O255" s="615"/>
      <c r="P255" s="576"/>
      <c r="Q255" s="390"/>
      <c r="R255" s="390"/>
      <c r="S255" s="390">
        <v>100</v>
      </c>
      <c r="T255" s="380"/>
      <c r="U255" s="380"/>
      <c r="V255" s="380"/>
      <c r="W255" s="380"/>
      <c r="X255" s="380"/>
      <c r="Y255" s="380"/>
      <c r="Z255" s="380"/>
      <c r="AA255" s="70"/>
      <c r="AB255" s="70"/>
      <c r="AC255" s="70"/>
      <c r="AD255" s="70"/>
      <c r="AE255" s="70"/>
      <c r="AF255" s="70"/>
      <c r="AG255" s="70"/>
      <c r="AH255" s="70"/>
      <c r="AI255" s="70"/>
      <c r="AJ255" s="70"/>
      <c r="AK255" s="70"/>
      <c r="AL255" s="70"/>
      <c r="AM255" s="70"/>
      <c r="AN255" s="70"/>
      <c r="AO255" s="70"/>
      <c r="AP255" s="77"/>
      <c r="AQ255" s="70"/>
      <c r="AR255" s="70"/>
      <c r="AS255" s="70"/>
      <c r="AT255" s="70"/>
      <c r="AU255" s="385">
        <v>55000</v>
      </c>
      <c r="AV255" s="386"/>
      <c r="AW255" s="70"/>
      <c r="AX255" s="70"/>
      <c r="AY255" s="70"/>
      <c r="AZ255" s="77"/>
      <c r="BA255" s="70"/>
      <c r="BB255" s="70"/>
      <c r="BC255" s="70"/>
      <c r="BD255" s="70"/>
      <c r="BE255" s="77"/>
      <c r="BF255" s="70"/>
      <c r="BG255" s="70"/>
      <c r="BH255" s="70"/>
      <c r="BI255" s="70"/>
      <c r="BJ255" s="77"/>
      <c r="BK255" s="70"/>
      <c r="BL255" s="70"/>
      <c r="BM255" s="70"/>
      <c r="BN255" s="70"/>
      <c r="BO255" s="77"/>
      <c r="BP255" s="70"/>
      <c r="BQ255" s="70"/>
      <c r="BR255" s="70"/>
      <c r="BS255" s="70"/>
      <c r="BT255" s="77"/>
      <c r="BU255" s="70"/>
      <c r="BV255" s="70"/>
      <c r="BW255" s="70"/>
      <c r="BX255" s="70"/>
      <c r="BY255" s="77"/>
      <c r="BZ255" s="70"/>
      <c r="CA255" s="70"/>
      <c r="CB255" s="70"/>
      <c r="CC255" s="70"/>
      <c r="CD255" s="77"/>
      <c r="CE255" s="70"/>
      <c r="CF255" s="70"/>
      <c r="CG255" s="70"/>
      <c r="CH255" s="70"/>
      <c r="CI255" s="388">
        <f t="shared" ref="CI255:CM256" si="645">AA255+AF255+AK255</f>
        <v>0</v>
      </c>
      <c r="CJ255" s="387">
        <f t="shared" si="645"/>
        <v>0</v>
      </c>
      <c r="CK255" s="387">
        <f t="shared" si="645"/>
        <v>0</v>
      </c>
      <c r="CL255" s="387">
        <f t="shared" si="645"/>
        <v>0</v>
      </c>
      <c r="CM255" s="387">
        <f t="shared" si="645"/>
        <v>0</v>
      </c>
      <c r="CN255" s="388">
        <f t="shared" si="625"/>
        <v>55000</v>
      </c>
      <c r="CO255" s="387">
        <f t="shared" si="626"/>
        <v>0</v>
      </c>
      <c r="CP255" s="387">
        <f t="shared" si="627"/>
        <v>0</v>
      </c>
      <c r="CQ255" s="387">
        <f t="shared" si="628"/>
        <v>0</v>
      </c>
      <c r="CR255" s="387">
        <f t="shared" si="629"/>
        <v>0</v>
      </c>
      <c r="CS255" s="388">
        <f t="shared" si="644"/>
        <v>55000</v>
      </c>
      <c r="CT255" s="472"/>
    </row>
    <row r="256" spans="1:98" s="5" customFormat="1" ht="192" x14ac:dyDescent="0.3">
      <c r="A256" s="504" t="s">
        <v>1107</v>
      </c>
      <c r="B256" s="498" t="s">
        <v>537</v>
      </c>
      <c r="C256" s="498" t="s">
        <v>538</v>
      </c>
      <c r="D256" s="476" t="s">
        <v>422</v>
      </c>
      <c r="E256" s="476" t="s">
        <v>273</v>
      </c>
      <c r="F256" s="481" t="s">
        <v>997</v>
      </c>
      <c r="G256" s="503" t="s">
        <v>62</v>
      </c>
      <c r="H256" s="533"/>
      <c r="I256" s="503"/>
      <c r="J256" s="633">
        <v>100</v>
      </c>
      <c r="K256" s="503" t="s">
        <v>140</v>
      </c>
      <c r="L256" s="633">
        <v>100</v>
      </c>
      <c r="M256" s="643"/>
      <c r="N256" s="592" t="s">
        <v>1531</v>
      </c>
      <c r="O256" s="615" t="s">
        <v>1531</v>
      </c>
      <c r="P256" s="556"/>
      <c r="Q256" s="503"/>
      <c r="R256" s="503"/>
      <c r="S256" s="503"/>
      <c r="T256" s="476"/>
      <c r="U256" s="476"/>
      <c r="V256" s="476"/>
      <c r="W256" s="476"/>
      <c r="X256" s="476"/>
      <c r="Y256" s="476"/>
      <c r="Z256" s="476"/>
      <c r="AA256" s="70"/>
      <c r="AB256" s="70"/>
      <c r="AC256" s="70"/>
      <c r="AD256" s="70"/>
      <c r="AE256" s="70"/>
      <c r="AF256" s="494">
        <v>50000</v>
      </c>
      <c r="AG256" s="491"/>
      <c r="AH256" s="70"/>
      <c r="AI256" s="70"/>
      <c r="AJ256" s="70"/>
      <c r="AK256" s="70"/>
      <c r="AL256" s="70"/>
      <c r="AM256" s="70"/>
      <c r="AN256" s="70"/>
      <c r="AO256" s="70"/>
      <c r="AP256" s="77"/>
      <c r="AQ256" s="70"/>
      <c r="AR256" s="70"/>
      <c r="AS256" s="70"/>
      <c r="AT256" s="70"/>
      <c r="AU256" s="77"/>
      <c r="AV256" s="70"/>
      <c r="AW256" s="70"/>
      <c r="AX256" s="70"/>
      <c r="AY256" s="70"/>
      <c r="AZ256" s="77"/>
      <c r="BA256" s="70"/>
      <c r="BB256" s="70"/>
      <c r="BC256" s="70"/>
      <c r="BD256" s="70"/>
      <c r="BE256" s="77"/>
      <c r="BF256" s="70"/>
      <c r="BG256" s="70"/>
      <c r="BH256" s="70"/>
      <c r="BI256" s="70"/>
      <c r="BJ256" s="77"/>
      <c r="BK256" s="70"/>
      <c r="BL256" s="70"/>
      <c r="BM256" s="70"/>
      <c r="BN256" s="70"/>
      <c r="BO256" s="77"/>
      <c r="BP256" s="70"/>
      <c r="BQ256" s="70"/>
      <c r="BR256" s="70"/>
      <c r="BS256" s="70"/>
      <c r="BT256" s="77"/>
      <c r="BU256" s="70"/>
      <c r="BV256" s="70"/>
      <c r="BW256" s="70"/>
      <c r="BX256" s="70"/>
      <c r="BY256" s="77"/>
      <c r="BZ256" s="70"/>
      <c r="CA256" s="70"/>
      <c r="CB256" s="70"/>
      <c r="CC256" s="70"/>
      <c r="CD256" s="77"/>
      <c r="CE256" s="70"/>
      <c r="CF256" s="70"/>
      <c r="CG256" s="70"/>
      <c r="CH256" s="70"/>
      <c r="CI256" s="501">
        <f t="shared" si="645"/>
        <v>50000</v>
      </c>
      <c r="CJ256" s="492">
        <f t="shared" si="645"/>
        <v>0</v>
      </c>
      <c r="CK256" s="492">
        <f t="shared" si="645"/>
        <v>0</v>
      </c>
      <c r="CL256" s="492">
        <f t="shared" si="645"/>
        <v>0</v>
      </c>
      <c r="CM256" s="492">
        <f t="shared" si="645"/>
        <v>0</v>
      </c>
      <c r="CN256" s="501">
        <f t="shared" si="625"/>
        <v>50000</v>
      </c>
      <c r="CO256" s="492">
        <f t="shared" si="626"/>
        <v>0</v>
      </c>
      <c r="CP256" s="492">
        <f t="shared" si="627"/>
        <v>0</v>
      </c>
      <c r="CQ256" s="492">
        <f t="shared" si="628"/>
        <v>0</v>
      </c>
      <c r="CR256" s="492">
        <f t="shared" si="629"/>
        <v>0</v>
      </c>
      <c r="CS256" s="501">
        <f t="shared" si="644"/>
        <v>50000</v>
      </c>
      <c r="CT256" s="14"/>
    </row>
    <row r="257" spans="1:98" s="5" customFormat="1" ht="168" x14ac:dyDescent="0.3">
      <c r="A257" s="504" t="s">
        <v>524</v>
      </c>
      <c r="B257" s="498" t="s">
        <v>519</v>
      </c>
      <c r="C257" s="498" t="s">
        <v>1345</v>
      </c>
      <c r="D257" s="503" t="s">
        <v>520</v>
      </c>
      <c r="E257" s="476" t="s">
        <v>521</v>
      </c>
      <c r="F257" s="870" t="s">
        <v>958</v>
      </c>
      <c r="G257" s="476" t="s">
        <v>62</v>
      </c>
      <c r="H257" s="527"/>
      <c r="I257" s="476">
        <v>0</v>
      </c>
      <c r="J257" s="634">
        <v>0.4</v>
      </c>
      <c r="K257" s="476" t="s">
        <v>140</v>
      </c>
      <c r="L257" s="634">
        <v>0.4</v>
      </c>
      <c r="M257" s="657" t="s">
        <v>140</v>
      </c>
      <c r="N257" s="598" t="s">
        <v>1531</v>
      </c>
      <c r="O257" s="699" t="s">
        <v>1724</v>
      </c>
      <c r="P257" s="550"/>
      <c r="Q257" s="714">
        <v>0.4</v>
      </c>
      <c r="R257" s="714">
        <v>0.4</v>
      </c>
      <c r="S257" s="714">
        <v>10</v>
      </c>
      <c r="T257" s="714">
        <v>20</v>
      </c>
      <c r="U257" s="714">
        <v>90</v>
      </c>
      <c r="V257" s="714">
        <v>90</v>
      </c>
      <c r="W257" s="714">
        <v>90</v>
      </c>
      <c r="X257" s="714">
        <v>90</v>
      </c>
      <c r="Y257" s="714">
        <v>90</v>
      </c>
      <c r="Z257" s="714">
        <v>99.8</v>
      </c>
      <c r="AA257" s="70"/>
      <c r="AB257" s="70"/>
      <c r="AC257" s="70"/>
      <c r="AD257" s="70"/>
      <c r="AE257" s="70"/>
      <c r="AF257" s="70"/>
      <c r="AG257" s="70"/>
      <c r="AH257" s="70"/>
      <c r="AI257" s="70"/>
      <c r="AJ257" s="70"/>
      <c r="AK257" s="70"/>
      <c r="AL257" s="70"/>
      <c r="AM257" s="70"/>
      <c r="AN257" s="70"/>
      <c r="AO257" s="70"/>
      <c r="AP257" s="77"/>
      <c r="AQ257" s="70"/>
      <c r="AR257" s="70"/>
      <c r="AS257" s="70"/>
      <c r="AT257" s="70"/>
      <c r="AU257" s="77"/>
      <c r="AV257" s="70"/>
      <c r="AW257" s="70"/>
      <c r="AX257" s="70"/>
      <c r="AY257" s="70"/>
      <c r="AZ257" s="77"/>
      <c r="BA257" s="70"/>
      <c r="BB257" s="70"/>
      <c r="BC257" s="70"/>
      <c r="BD257" s="70"/>
      <c r="BE257" s="77"/>
      <c r="BF257" s="70"/>
      <c r="BG257" s="70"/>
      <c r="BH257" s="70"/>
      <c r="BI257" s="70"/>
      <c r="BJ257" s="77"/>
      <c r="BK257" s="70"/>
      <c r="BL257" s="70"/>
      <c r="BM257" s="70"/>
      <c r="BN257" s="70"/>
      <c r="BO257" s="77"/>
      <c r="BP257" s="70"/>
      <c r="BQ257" s="70"/>
      <c r="BR257" s="70"/>
      <c r="BS257" s="70"/>
      <c r="BT257" s="77"/>
      <c r="BU257" s="70"/>
      <c r="BV257" s="70"/>
      <c r="BW257" s="70"/>
      <c r="BX257" s="70"/>
      <c r="BY257" s="77"/>
      <c r="BZ257" s="70"/>
      <c r="CA257" s="70"/>
      <c r="CB257" s="70"/>
      <c r="CC257" s="70"/>
      <c r="CD257" s="494">
        <v>51340.4</v>
      </c>
      <c r="CE257" s="491"/>
      <c r="CF257" s="491"/>
      <c r="CG257" s="491"/>
      <c r="CH257" s="491"/>
      <c r="CI257" s="501">
        <f t="shared" si="639"/>
        <v>0</v>
      </c>
      <c r="CJ257" s="492">
        <f t="shared" si="640"/>
        <v>0</v>
      </c>
      <c r="CK257" s="492">
        <f t="shared" si="641"/>
        <v>0</v>
      </c>
      <c r="CL257" s="492">
        <f t="shared" si="642"/>
        <v>0</v>
      </c>
      <c r="CM257" s="492">
        <f t="shared" si="643"/>
        <v>0</v>
      </c>
      <c r="CN257" s="501">
        <f t="shared" si="625"/>
        <v>51340.4</v>
      </c>
      <c r="CO257" s="492">
        <f t="shared" si="626"/>
        <v>0</v>
      </c>
      <c r="CP257" s="492">
        <f t="shared" si="627"/>
        <v>0</v>
      </c>
      <c r="CQ257" s="492">
        <f t="shared" si="628"/>
        <v>0</v>
      </c>
      <c r="CR257" s="492">
        <f t="shared" si="629"/>
        <v>0</v>
      </c>
      <c r="CS257" s="501">
        <f>CN257-CO257-CP257-CQ257-CR257</f>
        <v>51340.4</v>
      </c>
      <c r="CT257" s="14"/>
    </row>
    <row r="258" spans="1:98" s="5" customFormat="1" ht="165.75" customHeight="1" x14ac:dyDescent="0.3">
      <c r="A258" s="391" t="s">
        <v>526</v>
      </c>
      <c r="B258" s="383" t="s">
        <v>527</v>
      </c>
      <c r="C258" s="383" t="s">
        <v>1038</v>
      </c>
      <c r="D258" s="380" t="s">
        <v>972</v>
      </c>
      <c r="E258" s="380">
        <v>2022</v>
      </c>
      <c r="F258" s="870"/>
      <c r="G258" s="380" t="s">
        <v>62</v>
      </c>
      <c r="H258" s="527"/>
      <c r="I258" s="380">
        <v>0</v>
      </c>
      <c r="J258" s="634">
        <v>0.4</v>
      </c>
      <c r="K258" s="380" t="s">
        <v>140</v>
      </c>
      <c r="L258" s="634">
        <v>0.4</v>
      </c>
      <c r="M258" s="657" t="s">
        <v>140</v>
      </c>
      <c r="N258" s="598"/>
      <c r="O258" s="617"/>
      <c r="P258" s="569"/>
      <c r="Q258" s="715"/>
      <c r="R258" s="715"/>
      <c r="S258" s="715"/>
      <c r="T258" s="715"/>
      <c r="U258" s="715"/>
      <c r="V258" s="715"/>
      <c r="W258" s="715"/>
      <c r="X258" s="715"/>
      <c r="Y258" s="715"/>
      <c r="Z258" s="715"/>
      <c r="AA258" s="70"/>
      <c r="AB258" s="70"/>
      <c r="AC258" s="70"/>
      <c r="AD258" s="70"/>
      <c r="AE258" s="70"/>
      <c r="AF258" s="70"/>
      <c r="AG258" s="70"/>
      <c r="AH258" s="70"/>
      <c r="AI258" s="70"/>
      <c r="AJ258" s="70"/>
      <c r="AK258" s="70"/>
      <c r="AL258" s="70"/>
      <c r="AM258" s="70"/>
      <c r="AN258" s="70"/>
      <c r="AO258" s="70"/>
      <c r="AP258" s="342">
        <v>183200</v>
      </c>
      <c r="AQ258" s="341"/>
      <c r="AR258" s="341"/>
      <c r="AS258" s="341"/>
      <c r="AT258" s="341"/>
      <c r="AU258" s="342"/>
      <c r="AV258" s="341"/>
      <c r="AW258" s="341"/>
      <c r="AX258" s="341"/>
      <c r="AY258" s="341"/>
      <c r="AZ258" s="77"/>
      <c r="BA258" s="70"/>
      <c r="BB258" s="70"/>
      <c r="BC258" s="70"/>
      <c r="BD258" s="70"/>
      <c r="BE258" s="77"/>
      <c r="BF258" s="70"/>
      <c r="BG258" s="70"/>
      <c r="BH258" s="70"/>
      <c r="BI258" s="70"/>
      <c r="BJ258" s="77"/>
      <c r="BK258" s="70"/>
      <c r="BL258" s="70"/>
      <c r="BM258" s="70"/>
      <c r="BN258" s="70"/>
      <c r="BO258" s="77"/>
      <c r="BP258" s="70"/>
      <c r="BQ258" s="70"/>
      <c r="BR258" s="70"/>
      <c r="BS258" s="70"/>
      <c r="BT258" s="77"/>
      <c r="BU258" s="70"/>
      <c r="BV258" s="70"/>
      <c r="BW258" s="70"/>
      <c r="BX258" s="70"/>
      <c r="BY258" s="77"/>
      <c r="BZ258" s="70"/>
      <c r="CA258" s="70"/>
      <c r="CB258" s="70"/>
      <c r="CC258" s="70"/>
      <c r="CD258" s="77"/>
      <c r="CE258" s="70"/>
      <c r="CF258" s="70"/>
      <c r="CG258" s="70"/>
      <c r="CH258" s="70"/>
      <c r="CI258" s="352">
        <f t="shared" ref="CI258:CI262" si="646">AA258+AF258+AK258</f>
        <v>0</v>
      </c>
      <c r="CJ258" s="351">
        <f t="shared" ref="CJ258:CJ262" si="647">AB258+AG258+AL258</f>
        <v>0</v>
      </c>
      <c r="CK258" s="351">
        <f t="shared" ref="CK258:CK262" si="648">AC258+AH258+AM258</f>
        <v>0</v>
      </c>
      <c r="CL258" s="351">
        <f t="shared" ref="CL258:CL262" si="649">AD258+AI258+AN258</f>
        <v>0</v>
      </c>
      <c r="CM258" s="351">
        <f t="shared" ref="CM258:CM262" si="650">AE258+AJ258+AO258</f>
        <v>0</v>
      </c>
      <c r="CN258" s="352">
        <f t="shared" si="625"/>
        <v>183200</v>
      </c>
      <c r="CO258" s="351">
        <f t="shared" si="626"/>
        <v>0</v>
      </c>
      <c r="CP258" s="351">
        <f t="shared" si="627"/>
        <v>0</v>
      </c>
      <c r="CQ258" s="351">
        <f t="shared" si="628"/>
        <v>0</v>
      </c>
      <c r="CR258" s="351">
        <f t="shared" si="629"/>
        <v>0</v>
      </c>
      <c r="CS258" s="352">
        <f t="shared" ref="CS258:CS262" si="651">CN258-CO258-CP258-CQ258-CR258</f>
        <v>183200</v>
      </c>
      <c r="CT258" s="472"/>
    </row>
    <row r="259" spans="1:98" s="5" customFormat="1" ht="167.25" customHeight="1" x14ac:dyDescent="0.3">
      <c r="A259" s="391" t="s">
        <v>528</v>
      </c>
      <c r="B259" s="383" t="s">
        <v>525</v>
      </c>
      <c r="C259" s="383" t="s">
        <v>1346</v>
      </c>
      <c r="D259" s="380" t="s">
        <v>972</v>
      </c>
      <c r="E259" s="380" t="s">
        <v>258</v>
      </c>
      <c r="F259" s="777" t="s">
        <v>957</v>
      </c>
      <c r="G259" s="714" t="s">
        <v>31</v>
      </c>
      <c r="H259" s="714">
        <v>3</v>
      </c>
      <c r="I259" s="714">
        <v>4</v>
      </c>
      <c r="J259" s="714">
        <v>5</v>
      </c>
      <c r="K259" s="714">
        <v>5</v>
      </c>
      <c r="L259" s="714">
        <v>5</v>
      </c>
      <c r="M259" s="749">
        <v>5</v>
      </c>
      <c r="N259" s="598"/>
      <c r="O259" s="777" t="s">
        <v>1671</v>
      </c>
      <c r="P259" s="560"/>
      <c r="Q259" s="714">
        <v>5</v>
      </c>
      <c r="R259" s="714">
        <v>5</v>
      </c>
      <c r="S259" s="714">
        <v>5</v>
      </c>
      <c r="T259" s="714">
        <v>5</v>
      </c>
      <c r="U259" s="714">
        <v>5</v>
      </c>
      <c r="V259" s="714">
        <v>5</v>
      </c>
      <c r="W259" s="714">
        <v>5</v>
      </c>
      <c r="X259" s="714">
        <v>5</v>
      </c>
      <c r="Y259" s="714">
        <v>5</v>
      </c>
      <c r="Z259" s="714">
        <v>5</v>
      </c>
      <c r="AA259" s="70"/>
      <c r="AB259" s="70"/>
      <c r="AC259" s="70"/>
      <c r="AD259" s="70"/>
      <c r="AE259" s="70"/>
      <c r="AF259" s="385">
        <v>20000</v>
      </c>
      <c r="AG259" s="386"/>
      <c r="AH259" s="386"/>
      <c r="AI259" s="386"/>
      <c r="AJ259" s="386"/>
      <c r="AK259" s="70"/>
      <c r="AL259" s="70"/>
      <c r="AM259" s="70"/>
      <c r="AN259" s="70"/>
      <c r="AO259" s="70"/>
      <c r="AP259" s="77"/>
      <c r="AQ259" s="70"/>
      <c r="AR259" s="70"/>
      <c r="AS259" s="70"/>
      <c r="AT259" s="70"/>
      <c r="AU259" s="77"/>
      <c r="AV259" s="70"/>
      <c r="AW259" s="70"/>
      <c r="AX259" s="70"/>
      <c r="AY259" s="70"/>
      <c r="AZ259" s="77"/>
      <c r="BA259" s="70"/>
      <c r="BB259" s="70"/>
      <c r="BC259" s="70"/>
      <c r="BD259" s="70"/>
      <c r="BE259" s="77"/>
      <c r="BF259" s="70"/>
      <c r="BG259" s="70"/>
      <c r="BH259" s="70"/>
      <c r="BI259" s="70"/>
      <c r="BJ259" s="77"/>
      <c r="BK259" s="70"/>
      <c r="BL259" s="70"/>
      <c r="BM259" s="70"/>
      <c r="BN259" s="70"/>
      <c r="BO259" s="77"/>
      <c r="BP259" s="70"/>
      <c r="BQ259" s="70"/>
      <c r="BR259" s="70"/>
      <c r="BS259" s="70"/>
      <c r="BT259" s="77"/>
      <c r="BU259" s="70"/>
      <c r="BV259" s="70"/>
      <c r="BW259" s="70"/>
      <c r="BX259" s="70"/>
      <c r="BY259" s="77"/>
      <c r="BZ259" s="70"/>
      <c r="CA259" s="70"/>
      <c r="CB259" s="70"/>
      <c r="CC259" s="70"/>
      <c r="CD259" s="77"/>
      <c r="CE259" s="70"/>
      <c r="CF259" s="70"/>
      <c r="CG259" s="70"/>
      <c r="CH259" s="70"/>
      <c r="CI259" s="388">
        <f>AA259+AF259+AK259</f>
        <v>20000</v>
      </c>
      <c r="CJ259" s="387">
        <f>AB259+AG259+AL259</f>
        <v>0</v>
      </c>
      <c r="CK259" s="387">
        <f>AC259+AH259+AM259</f>
        <v>0</v>
      </c>
      <c r="CL259" s="387">
        <f>AD259+AI259+AN259</f>
        <v>0</v>
      </c>
      <c r="CM259" s="387">
        <f>AE259+AJ259+AO259</f>
        <v>0</v>
      </c>
      <c r="CN259" s="388">
        <f t="shared" si="625"/>
        <v>20000</v>
      </c>
      <c r="CO259" s="387">
        <f t="shared" si="626"/>
        <v>0</v>
      </c>
      <c r="CP259" s="387">
        <f t="shared" si="627"/>
        <v>0</v>
      </c>
      <c r="CQ259" s="387">
        <f t="shared" si="628"/>
        <v>0</v>
      </c>
      <c r="CR259" s="387">
        <f t="shared" si="629"/>
        <v>0</v>
      </c>
      <c r="CS259" s="388">
        <f t="shared" si="651"/>
        <v>20000</v>
      </c>
      <c r="CT259" s="472"/>
    </row>
    <row r="260" spans="1:98" s="5" customFormat="1" ht="165.75" customHeight="1" x14ac:dyDescent="0.3">
      <c r="A260" s="391" t="s">
        <v>530</v>
      </c>
      <c r="B260" s="383" t="s">
        <v>529</v>
      </c>
      <c r="C260" s="383" t="s">
        <v>1039</v>
      </c>
      <c r="D260" s="380" t="s">
        <v>972</v>
      </c>
      <c r="E260" s="380">
        <v>2023</v>
      </c>
      <c r="F260" s="784"/>
      <c r="G260" s="748"/>
      <c r="H260" s="748"/>
      <c r="I260" s="748"/>
      <c r="J260" s="748"/>
      <c r="K260" s="748"/>
      <c r="L260" s="748"/>
      <c r="M260" s="750"/>
      <c r="N260" s="598"/>
      <c r="O260" s="784"/>
      <c r="P260" s="562"/>
      <c r="Q260" s="748"/>
      <c r="R260" s="748"/>
      <c r="S260" s="748"/>
      <c r="T260" s="748"/>
      <c r="U260" s="748"/>
      <c r="V260" s="748"/>
      <c r="W260" s="748"/>
      <c r="X260" s="748"/>
      <c r="Y260" s="748"/>
      <c r="Z260" s="748"/>
      <c r="AA260" s="70"/>
      <c r="AB260" s="70"/>
      <c r="AC260" s="70"/>
      <c r="AD260" s="70"/>
      <c r="AE260" s="70"/>
      <c r="AF260" s="70"/>
      <c r="AG260" s="70"/>
      <c r="AH260" s="70"/>
      <c r="AI260" s="70"/>
      <c r="AJ260" s="70"/>
      <c r="AK260" s="70"/>
      <c r="AL260" s="70"/>
      <c r="AM260" s="70"/>
      <c r="AN260" s="70"/>
      <c r="AO260" s="70"/>
      <c r="AP260" s="77"/>
      <c r="AQ260" s="70"/>
      <c r="AR260" s="70"/>
      <c r="AS260" s="70"/>
      <c r="AT260" s="70"/>
      <c r="AU260" s="385">
        <v>1487000</v>
      </c>
      <c r="AV260" s="386"/>
      <c r="AW260" s="386"/>
      <c r="AX260" s="386"/>
      <c r="AY260" s="386"/>
      <c r="AZ260" s="77"/>
      <c r="BA260" s="70"/>
      <c r="BB260" s="70"/>
      <c r="BC260" s="70"/>
      <c r="BD260" s="70"/>
      <c r="BE260" s="77"/>
      <c r="BF260" s="70"/>
      <c r="BG260" s="70"/>
      <c r="BH260" s="70"/>
      <c r="BI260" s="70"/>
      <c r="BJ260" s="77"/>
      <c r="BK260" s="70"/>
      <c r="BL260" s="70"/>
      <c r="BM260" s="70"/>
      <c r="BN260" s="70"/>
      <c r="BO260" s="77"/>
      <c r="BP260" s="70"/>
      <c r="BQ260" s="70"/>
      <c r="BR260" s="70"/>
      <c r="BS260" s="70"/>
      <c r="BT260" s="77"/>
      <c r="BU260" s="70"/>
      <c r="BV260" s="70"/>
      <c r="BW260" s="70"/>
      <c r="BX260" s="70"/>
      <c r="BY260" s="77"/>
      <c r="BZ260" s="70"/>
      <c r="CA260" s="70"/>
      <c r="CB260" s="70"/>
      <c r="CC260" s="70"/>
      <c r="CD260" s="77"/>
      <c r="CE260" s="70"/>
      <c r="CF260" s="70"/>
      <c r="CG260" s="70"/>
      <c r="CH260" s="70"/>
      <c r="CI260" s="388">
        <f t="shared" si="646"/>
        <v>0</v>
      </c>
      <c r="CJ260" s="387">
        <f t="shared" si="647"/>
        <v>0</v>
      </c>
      <c r="CK260" s="387">
        <f t="shared" si="648"/>
        <v>0</v>
      </c>
      <c r="CL260" s="387">
        <f t="shared" si="649"/>
        <v>0</v>
      </c>
      <c r="CM260" s="387">
        <f t="shared" si="650"/>
        <v>0</v>
      </c>
      <c r="CN260" s="388">
        <f t="shared" si="625"/>
        <v>1487000</v>
      </c>
      <c r="CO260" s="387">
        <f t="shared" si="626"/>
        <v>0</v>
      </c>
      <c r="CP260" s="387">
        <f t="shared" si="627"/>
        <v>0</v>
      </c>
      <c r="CQ260" s="387">
        <f t="shared" si="628"/>
        <v>0</v>
      </c>
      <c r="CR260" s="387">
        <f t="shared" si="629"/>
        <v>0</v>
      </c>
      <c r="CS260" s="388">
        <f t="shared" si="651"/>
        <v>1487000</v>
      </c>
      <c r="CT260" s="472"/>
    </row>
    <row r="261" spans="1:98" s="5" customFormat="1" ht="162" customHeight="1" x14ac:dyDescent="0.3">
      <c r="A261" s="391" t="s">
        <v>533</v>
      </c>
      <c r="B261" s="383" t="s">
        <v>531</v>
      </c>
      <c r="C261" s="383" t="s">
        <v>532</v>
      </c>
      <c r="D261" s="380" t="s">
        <v>972</v>
      </c>
      <c r="E261" s="380">
        <v>2025</v>
      </c>
      <c r="F261" s="784"/>
      <c r="G261" s="748"/>
      <c r="H261" s="748"/>
      <c r="I261" s="748"/>
      <c r="J261" s="748"/>
      <c r="K261" s="748"/>
      <c r="L261" s="748"/>
      <c r="M261" s="750"/>
      <c r="N261" s="598"/>
      <c r="O261" s="784"/>
      <c r="P261" s="562"/>
      <c r="Q261" s="748"/>
      <c r="R261" s="748"/>
      <c r="S261" s="748"/>
      <c r="T261" s="748"/>
      <c r="U261" s="748"/>
      <c r="V261" s="748"/>
      <c r="W261" s="748"/>
      <c r="X261" s="748"/>
      <c r="Y261" s="748"/>
      <c r="Z261" s="748"/>
      <c r="AA261" s="70"/>
      <c r="AB261" s="70"/>
      <c r="AC261" s="70"/>
      <c r="AD261" s="70"/>
      <c r="AE261" s="70"/>
      <c r="AF261" s="70"/>
      <c r="AG261" s="70"/>
      <c r="AH261" s="70"/>
      <c r="AI261" s="70"/>
      <c r="AJ261" s="70"/>
      <c r="AK261" s="70"/>
      <c r="AL261" s="70"/>
      <c r="AM261" s="70"/>
      <c r="AN261" s="70"/>
      <c r="AO261" s="70"/>
      <c r="AP261" s="77"/>
      <c r="AQ261" s="70"/>
      <c r="AR261" s="70"/>
      <c r="AS261" s="70"/>
      <c r="AT261" s="70"/>
      <c r="AU261" s="77"/>
      <c r="AV261" s="70"/>
      <c r="AW261" s="70"/>
      <c r="AX261" s="70"/>
      <c r="AY261" s="70"/>
      <c r="AZ261" s="77"/>
      <c r="BA261" s="70"/>
      <c r="BB261" s="70"/>
      <c r="BC261" s="70"/>
      <c r="BD261" s="70"/>
      <c r="BE261" s="385">
        <v>39700</v>
      </c>
      <c r="BF261" s="386"/>
      <c r="BG261" s="386"/>
      <c r="BH261" s="386"/>
      <c r="BI261" s="386"/>
      <c r="BJ261" s="77"/>
      <c r="BK261" s="70"/>
      <c r="BL261" s="70"/>
      <c r="BM261" s="70"/>
      <c r="BN261" s="70"/>
      <c r="BO261" s="77"/>
      <c r="BP261" s="70"/>
      <c r="BQ261" s="70"/>
      <c r="BR261" s="70"/>
      <c r="BS261" s="70"/>
      <c r="BT261" s="77"/>
      <c r="BU261" s="70"/>
      <c r="BV261" s="70"/>
      <c r="BW261" s="70"/>
      <c r="BX261" s="70"/>
      <c r="BY261" s="77"/>
      <c r="BZ261" s="70"/>
      <c r="CA261" s="70"/>
      <c r="CB261" s="70"/>
      <c r="CC261" s="70"/>
      <c r="CD261" s="77"/>
      <c r="CE261" s="70"/>
      <c r="CF261" s="70"/>
      <c r="CG261" s="70"/>
      <c r="CH261" s="70"/>
      <c r="CI261" s="388">
        <f t="shared" si="646"/>
        <v>0</v>
      </c>
      <c r="CJ261" s="387">
        <f t="shared" si="647"/>
        <v>0</v>
      </c>
      <c r="CK261" s="387">
        <f t="shared" si="648"/>
        <v>0</v>
      </c>
      <c r="CL261" s="387">
        <f t="shared" si="649"/>
        <v>0</v>
      </c>
      <c r="CM261" s="387">
        <f t="shared" si="650"/>
        <v>0</v>
      </c>
      <c r="CN261" s="388">
        <f t="shared" si="625"/>
        <v>39700</v>
      </c>
      <c r="CO261" s="387">
        <f t="shared" si="626"/>
        <v>0</v>
      </c>
      <c r="CP261" s="387">
        <f t="shared" si="627"/>
        <v>0</v>
      </c>
      <c r="CQ261" s="387">
        <f t="shared" si="628"/>
        <v>0</v>
      </c>
      <c r="CR261" s="387">
        <f t="shared" si="629"/>
        <v>0</v>
      </c>
      <c r="CS261" s="388">
        <f t="shared" si="651"/>
        <v>39700</v>
      </c>
      <c r="CT261" s="472"/>
    </row>
    <row r="262" spans="1:98" s="5" customFormat="1" ht="171" customHeight="1" x14ac:dyDescent="0.3">
      <c r="A262" s="391" t="s">
        <v>536</v>
      </c>
      <c r="B262" s="383" t="s">
        <v>534</v>
      </c>
      <c r="C262" s="383" t="s">
        <v>535</v>
      </c>
      <c r="D262" s="380" t="s">
        <v>972</v>
      </c>
      <c r="E262" s="380">
        <v>2025</v>
      </c>
      <c r="F262" s="778"/>
      <c r="G262" s="715"/>
      <c r="H262" s="715"/>
      <c r="I262" s="715"/>
      <c r="J262" s="715"/>
      <c r="K262" s="715"/>
      <c r="L262" s="715"/>
      <c r="M262" s="751"/>
      <c r="N262" s="598"/>
      <c r="O262" s="778"/>
      <c r="P262" s="561"/>
      <c r="Q262" s="715"/>
      <c r="R262" s="715"/>
      <c r="S262" s="715"/>
      <c r="T262" s="715"/>
      <c r="U262" s="715"/>
      <c r="V262" s="715"/>
      <c r="W262" s="715"/>
      <c r="X262" s="715"/>
      <c r="Y262" s="715"/>
      <c r="Z262" s="715"/>
      <c r="AA262" s="70"/>
      <c r="AB262" s="70"/>
      <c r="AC262" s="70"/>
      <c r="AD262" s="70"/>
      <c r="AE262" s="70"/>
      <c r="AF262" s="70"/>
      <c r="AG262" s="70"/>
      <c r="AH262" s="70"/>
      <c r="AI262" s="70"/>
      <c r="AJ262" s="70"/>
      <c r="AK262" s="70"/>
      <c r="AL262" s="70"/>
      <c r="AM262" s="70"/>
      <c r="AN262" s="70"/>
      <c r="AO262" s="70"/>
      <c r="AP262" s="77"/>
      <c r="AQ262" s="70"/>
      <c r="AR262" s="70"/>
      <c r="AS262" s="70"/>
      <c r="AT262" s="70"/>
      <c r="AU262" s="77"/>
      <c r="AV262" s="70"/>
      <c r="AW262" s="70"/>
      <c r="AX262" s="70"/>
      <c r="AY262" s="70"/>
      <c r="AZ262" s="77"/>
      <c r="BA262" s="70"/>
      <c r="BB262" s="70"/>
      <c r="BC262" s="70"/>
      <c r="BD262" s="70"/>
      <c r="BE262" s="385">
        <v>19400</v>
      </c>
      <c r="BF262" s="386"/>
      <c r="BG262" s="386"/>
      <c r="BH262" s="386"/>
      <c r="BI262" s="386"/>
      <c r="BJ262" s="77"/>
      <c r="BK262" s="70"/>
      <c r="BL262" s="70"/>
      <c r="BM262" s="70"/>
      <c r="BN262" s="70"/>
      <c r="BO262" s="77"/>
      <c r="BP262" s="70"/>
      <c r="BQ262" s="70"/>
      <c r="BR262" s="70"/>
      <c r="BS262" s="70"/>
      <c r="BT262" s="77"/>
      <c r="BU262" s="70"/>
      <c r="BV262" s="70"/>
      <c r="BW262" s="70"/>
      <c r="BX262" s="70"/>
      <c r="BY262" s="77"/>
      <c r="BZ262" s="70"/>
      <c r="CA262" s="70"/>
      <c r="CB262" s="70"/>
      <c r="CC262" s="70"/>
      <c r="CD262" s="77"/>
      <c r="CE262" s="70"/>
      <c r="CF262" s="70"/>
      <c r="CG262" s="70"/>
      <c r="CH262" s="70"/>
      <c r="CI262" s="388">
        <f t="shared" si="646"/>
        <v>0</v>
      </c>
      <c r="CJ262" s="387">
        <f t="shared" si="647"/>
        <v>0</v>
      </c>
      <c r="CK262" s="387">
        <f t="shared" si="648"/>
        <v>0</v>
      </c>
      <c r="CL262" s="387">
        <f t="shared" si="649"/>
        <v>0</v>
      </c>
      <c r="CM262" s="387">
        <f t="shared" si="650"/>
        <v>0</v>
      </c>
      <c r="CN262" s="388">
        <f t="shared" si="625"/>
        <v>19400</v>
      </c>
      <c r="CO262" s="387">
        <f t="shared" si="626"/>
        <v>0</v>
      </c>
      <c r="CP262" s="387">
        <f t="shared" si="627"/>
        <v>0</v>
      </c>
      <c r="CQ262" s="387">
        <f t="shared" si="628"/>
        <v>0</v>
      </c>
      <c r="CR262" s="387">
        <f t="shared" si="629"/>
        <v>0</v>
      </c>
      <c r="CS262" s="388">
        <f t="shared" si="651"/>
        <v>19400</v>
      </c>
      <c r="CT262" s="472"/>
    </row>
    <row r="263" spans="1:98" x14ac:dyDescent="0.3">
      <c r="A263" s="362" t="s">
        <v>539</v>
      </c>
      <c r="B263" s="789" t="s">
        <v>540</v>
      </c>
      <c r="C263" s="789"/>
      <c r="D263" s="789"/>
      <c r="E263" s="789"/>
      <c r="F263" s="789"/>
      <c r="G263" s="789"/>
      <c r="H263" s="789"/>
      <c r="I263" s="789"/>
      <c r="J263" s="789"/>
      <c r="K263" s="789"/>
      <c r="L263" s="789"/>
      <c r="M263" s="789"/>
      <c r="N263" s="789"/>
      <c r="O263" s="789"/>
      <c r="P263" s="789"/>
      <c r="Q263" s="789"/>
      <c r="R263" s="789"/>
      <c r="S263" s="789"/>
      <c r="T263" s="789"/>
      <c r="U263" s="789"/>
      <c r="V263" s="789"/>
      <c r="W263" s="789"/>
      <c r="X263" s="789"/>
      <c r="Y263" s="789"/>
      <c r="Z263" s="789"/>
      <c r="AA263" s="789"/>
      <c r="AB263" s="789"/>
      <c r="AC263" s="789"/>
      <c r="AD263" s="789"/>
      <c r="AE263" s="789"/>
      <c r="AF263" s="789"/>
      <c r="AG263" s="789"/>
      <c r="AH263" s="789"/>
      <c r="AI263" s="789"/>
      <c r="AJ263" s="789"/>
      <c r="AK263" s="789"/>
      <c r="AL263" s="789"/>
      <c r="AM263" s="789"/>
      <c r="AN263" s="789"/>
      <c r="AO263" s="789"/>
      <c r="AP263" s="789"/>
      <c r="AQ263" s="789"/>
      <c r="AR263" s="789"/>
      <c r="AS263" s="789"/>
      <c r="AT263" s="789"/>
      <c r="AU263" s="789"/>
      <c r="AV263" s="789"/>
      <c r="AW263" s="789"/>
      <c r="AX263" s="789"/>
      <c r="AY263" s="789"/>
      <c r="AZ263" s="789"/>
      <c r="BA263" s="789"/>
      <c r="BB263" s="789"/>
      <c r="BC263" s="789"/>
      <c r="BD263" s="789"/>
      <c r="BE263" s="789"/>
      <c r="BF263" s="789"/>
      <c r="BG263" s="789"/>
      <c r="BH263" s="789"/>
      <c r="BI263" s="789"/>
      <c r="BJ263" s="789"/>
      <c r="BK263" s="789"/>
      <c r="BL263" s="789"/>
      <c r="BM263" s="789"/>
      <c r="BN263" s="789"/>
      <c r="BO263" s="789"/>
      <c r="BP263" s="789"/>
      <c r="BQ263" s="789"/>
      <c r="BR263" s="789"/>
      <c r="BS263" s="789"/>
      <c r="BT263" s="789"/>
      <c r="BU263" s="789"/>
      <c r="BV263" s="789"/>
      <c r="BW263" s="789"/>
      <c r="BX263" s="789"/>
      <c r="BY263" s="789"/>
      <c r="BZ263" s="789"/>
      <c r="CA263" s="789"/>
      <c r="CB263" s="789"/>
      <c r="CC263" s="789"/>
      <c r="CD263" s="789"/>
      <c r="CE263" s="789"/>
      <c r="CF263" s="789"/>
      <c r="CG263" s="789"/>
      <c r="CH263" s="789"/>
      <c r="CI263" s="789"/>
      <c r="CJ263" s="789"/>
      <c r="CK263" s="789"/>
      <c r="CL263" s="789"/>
      <c r="CM263" s="789"/>
      <c r="CN263" s="277">
        <f>CN264+CN265+CN266+CN267+CN268+CN269+CN270+CN271+CN272+CN273+CN274+CN275</f>
        <v>14994372.9</v>
      </c>
      <c r="CO263" s="277">
        <f t="shared" ref="CO263:CS263" si="652">CO264+CO265+CO266+CO267+CO268+CO269+CO270+CO271+CO272+CO273+CO274+CO275</f>
        <v>74184.899999999994</v>
      </c>
      <c r="CP263" s="277">
        <f t="shared" si="652"/>
        <v>50000</v>
      </c>
      <c r="CQ263" s="277">
        <f t="shared" si="652"/>
        <v>0</v>
      </c>
      <c r="CR263" s="277">
        <f t="shared" si="652"/>
        <v>9267743</v>
      </c>
      <c r="CS263" s="273">
        <f t="shared" si="652"/>
        <v>5602445</v>
      </c>
    </row>
    <row r="264" spans="1:98" s="4" customFormat="1" ht="105" customHeight="1" x14ac:dyDescent="0.3">
      <c r="A264" s="862" t="s">
        <v>543</v>
      </c>
      <c r="B264" s="804" t="s">
        <v>544</v>
      </c>
      <c r="C264" s="506" t="s">
        <v>545</v>
      </c>
      <c r="D264" s="503" t="s">
        <v>1652</v>
      </c>
      <c r="E264" s="503" t="s">
        <v>551</v>
      </c>
      <c r="F264" s="481" t="s">
        <v>547</v>
      </c>
      <c r="G264" s="503" t="s">
        <v>548</v>
      </c>
      <c r="H264" s="533">
        <v>1957.7</v>
      </c>
      <c r="I264" s="503">
        <v>1604.7</v>
      </c>
      <c r="J264" s="633">
        <v>1604.7</v>
      </c>
      <c r="K264" s="503" t="s">
        <v>140</v>
      </c>
      <c r="L264" s="633">
        <v>1604.7</v>
      </c>
      <c r="M264" s="643" t="s">
        <v>140</v>
      </c>
      <c r="N264" s="836" t="s">
        <v>1550</v>
      </c>
      <c r="O264" s="884" t="s">
        <v>1550</v>
      </c>
      <c r="P264" s="518"/>
      <c r="Q264" s="508">
        <v>1604.7</v>
      </c>
      <c r="R264" s="508">
        <v>1604.7</v>
      </c>
      <c r="S264" s="508">
        <v>1604.7</v>
      </c>
      <c r="T264" s="508">
        <v>1604.7</v>
      </c>
      <c r="U264" s="508">
        <v>1897.7</v>
      </c>
      <c r="V264" s="476"/>
      <c r="W264" s="476"/>
      <c r="X264" s="476"/>
      <c r="Y264" s="476"/>
      <c r="Z264" s="476"/>
      <c r="AA264" s="494">
        <f t="shared" ref="AA264:AA273" si="653">SUM(AB264:AE264)</f>
        <v>844640</v>
      </c>
      <c r="AB264" s="491"/>
      <c r="AC264" s="491"/>
      <c r="AD264" s="491"/>
      <c r="AE264" s="491">
        <v>844640</v>
      </c>
      <c r="AF264" s="494">
        <f t="shared" ref="AF264:AF272" si="654">SUM(AG264:AJ264)</f>
        <v>778640</v>
      </c>
      <c r="AG264" s="491"/>
      <c r="AH264" s="491"/>
      <c r="AI264" s="491"/>
      <c r="AJ264" s="491">
        <v>778640</v>
      </c>
      <c r="AK264" s="494">
        <f t="shared" ref="AK264:AK272" si="655">SUM(AL264:AO264)</f>
        <v>161000</v>
      </c>
      <c r="AL264" s="491"/>
      <c r="AM264" s="491"/>
      <c r="AN264" s="491"/>
      <c r="AO264" s="491">
        <v>161000</v>
      </c>
      <c r="AP264" s="138">
        <v>183000</v>
      </c>
      <c r="AQ264" s="491"/>
      <c r="AR264" s="491"/>
      <c r="AS264" s="491"/>
      <c r="AT264" s="491"/>
      <c r="AU264" s="138">
        <v>183000</v>
      </c>
      <c r="AV264" s="491"/>
      <c r="AW264" s="491"/>
      <c r="AX264" s="491"/>
      <c r="AY264" s="491"/>
      <c r="AZ264" s="138">
        <v>117000</v>
      </c>
      <c r="BA264" s="491"/>
      <c r="BB264" s="491"/>
      <c r="BC264" s="491"/>
      <c r="BD264" s="491"/>
      <c r="BE264" s="138">
        <v>161000</v>
      </c>
      <c r="BF264" s="491"/>
      <c r="BG264" s="491"/>
      <c r="BH264" s="491"/>
      <c r="BI264" s="491"/>
      <c r="BJ264" s="494"/>
      <c r="BK264" s="491"/>
      <c r="BL264" s="491"/>
      <c r="BM264" s="491"/>
      <c r="BN264" s="491"/>
      <c r="BO264" s="494"/>
      <c r="BP264" s="491"/>
      <c r="BQ264" s="491"/>
      <c r="BR264" s="491"/>
      <c r="BS264" s="491"/>
      <c r="BT264" s="494"/>
      <c r="BU264" s="491"/>
      <c r="BV264" s="491"/>
      <c r="BW264" s="491"/>
      <c r="BX264" s="491"/>
      <c r="BY264" s="494"/>
      <c r="BZ264" s="491"/>
      <c r="CA264" s="491"/>
      <c r="CB264" s="491"/>
      <c r="CC264" s="491"/>
      <c r="CD264" s="494"/>
      <c r="CE264" s="491"/>
      <c r="CF264" s="491"/>
      <c r="CG264" s="491"/>
      <c r="CH264" s="491"/>
      <c r="CI264" s="501">
        <f t="shared" ref="CI264:CI269" si="656">AA264+AF264+AK264</f>
        <v>1784280</v>
      </c>
      <c r="CJ264" s="492">
        <f t="shared" ref="CJ264:CJ269" si="657">AB264+AG264+AL264</f>
        <v>0</v>
      </c>
      <c r="CK264" s="492">
        <f t="shared" ref="CK264:CK269" si="658">AC264+AH264+AM264</f>
        <v>0</v>
      </c>
      <c r="CL264" s="492">
        <f t="shared" ref="CL264:CL269" si="659">AD264+AI264+AN264</f>
        <v>0</v>
      </c>
      <c r="CM264" s="492">
        <f t="shared" ref="CM264:CM269" si="660">AE264+AJ264+AO264</f>
        <v>1784280</v>
      </c>
      <c r="CN264" s="501">
        <f t="shared" ref="CN264:CN275" si="661">AA264+AF264+AK264+AP264+AU264+AZ264+BE264+BJ264+BO264+BT264+BY264+CD264</f>
        <v>2428280</v>
      </c>
      <c r="CO264" s="492">
        <f t="shared" ref="CO264:CO275" si="662">AB264+AG264+AL264+AQ264+AV264+BA264+BF264+BK264+BP264+BU264+BZ264+CE264</f>
        <v>0</v>
      </c>
      <c r="CP264" s="492">
        <f t="shared" ref="CP264:CP275" si="663">AC264+AH264+AM264+AR264+AW264+BB264+BG264+BL264+BQ264+BV264+CA264+CF264</f>
        <v>0</v>
      </c>
      <c r="CQ264" s="492">
        <f t="shared" ref="CQ264:CQ275" si="664">AD264+AI264+AN264+AS264+AX264+BC264+BH264+BM264+BR264+BW264+CB264+CG264</f>
        <v>0</v>
      </c>
      <c r="CR264" s="492">
        <f t="shared" ref="CR264:CR275" si="665">AE264+AJ264+AO264+AT264+AY264+BD264+BI264+BN264+BS264+BX264+CC264+CH264</f>
        <v>1784280</v>
      </c>
      <c r="CS264" s="501">
        <f>CN264-CO264-CP264-CQ264-CR264</f>
        <v>644000</v>
      </c>
      <c r="CT264" s="471"/>
    </row>
    <row r="265" spans="1:98" s="4" customFormat="1" ht="120" x14ac:dyDescent="0.3">
      <c r="A265" s="869"/>
      <c r="B265" s="852"/>
      <c r="C265" s="506" t="s">
        <v>549</v>
      </c>
      <c r="D265" s="503" t="s">
        <v>1652</v>
      </c>
      <c r="E265" s="503" t="s">
        <v>551</v>
      </c>
      <c r="F265" s="481" t="s">
        <v>547</v>
      </c>
      <c r="G265" s="503" t="s">
        <v>548</v>
      </c>
      <c r="H265" s="533">
        <v>1047.972</v>
      </c>
      <c r="I265" s="503">
        <v>815.53</v>
      </c>
      <c r="J265" s="637">
        <v>815.53</v>
      </c>
      <c r="K265" s="503" t="s">
        <v>140</v>
      </c>
      <c r="L265" s="637">
        <v>815.53</v>
      </c>
      <c r="M265" s="643" t="s">
        <v>140</v>
      </c>
      <c r="N265" s="837"/>
      <c r="O265" s="886"/>
      <c r="P265" s="518"/>
      <c r="Q265" s="503">
        <v>815.53</v>
      </c>
      <c r="R265" s="503">
        <v>815.53</v>
      </c>
      <c r="S265" s="503">
        <v>815.53</v>
      </c>
      <c r="T265" s="503">
        <v>815.53</v>
      </c>
      <c r="U265" s="503">
        <v>1116.53</v>
      </c>
      <c r="V265" s="476"/>
      <c r="W265" s="476"/>
      <c r="X265" s="476"/>
      <c r="Y265" s="476"/>
      <c r="Z265" s="476"/>
      <c r="AA265" s="494">
        <f t="shared" si="653"/>
        <v>475928</v>
      </c>
      <c r="AB265" s="491"/>
      <c r="AC265" s="491"/>
      <c r="AD265" s="491"/>
      <c r="AE265" s="491">
        <v>475928</v>
      </c>
      <c r="AF265" s="494">
        <f t="shared" si="654"/>
        <v>601563</v>
      </c>
      <c r="AG265" s="491"/>
      <c r="AH265" s="491"/>
      <c r="AI265" s="491"/>
      <c r="AJ265" s="491">
        <v>601563</v>
      </c>
      <c r="AK265" s="494">
        <f t="shared" si="655"/>
        <v>166037</v>
      </c>
      <c r="AL265" s="491"/>
      <c r="AM265" s="491"/>
      <c r="AN265" s="491"/>
      <c r="AO265" s="491">
        <v>166037</v>
      </c>
      <c r="AP265" s="138">
        <v>137856</v>
      </c>
      <c r="AQ265" s="491"/>
      <c r="AR265" s="491"/>
      <c r="AS265" s="491"/>
      <c r="AT265" s="491"/>
      <c r="AU265" s="138">
        <v>68928</v>
      </c>
      <c r="AV265" s="491"/>
      <c r="AW265" s="491"/>
      <c r="AX265" s="491"/>
      <c r="AY265" s="491"/>
      <c r="AZ265" s="138">
        <v>137856</v>
      </c>
      <c r="BA265" s="491"/>
      <c r="BB265" s="491"/>
      <c r="BC265" s="491"/>
      <c r="BD265" s="491"/>
      <c r="BE265" s="138">
        <v>137856</v>
      </c>
      <c r="BF265" s="491"/>
      <c r="BG265" s="491"/>
      <c r="BH265" s="491"/>
      <c r="BI265" s="491"/>
      <c r="BJ265" s="494"/>
      <c r="BK265" s="491"/>
      <c r="BL265" s="491"/>
      <c r="BM265" s="491"/>
      <c r="BN265" s="491"/>
      <c r="BO265" s="494"/>
      <c r="BP265" s="491"/>
      <c r="BQ265" s="491"/>
      <c r="BR265" s="491"/>
      <c r="BS265" s="491"/>
      <c r="BT265" s="494"/>
      <c r="BU265" s="491"/>
      <c r="BV265" s="491"/>
      <c r="BW265" s="491"/>
      <c r="BX265" s="491"/>
      <c r="BY265" s="494"/>
      <c r="BZ265" s="491"/>
      <c r="CA265" s="491"/>
      <c r="CB265" s="491"/>
      <c r="CC265" s="491"/>
      <c r="CD265" s="494"/>
      <c r="CE265" s="491"/>
      <c r="CF265" s="491"/>
      <c r="CG265" s="491"/>
      <c r="CH265" s="491"/>
      <c r="CI265" s="501">
        <f t="shared" si="656"/>
        <v>1243528</v>
      </c>
      <c r="CJ265" s="492">
        <f t="shared" si="657"/>
        <v>0</v>
      </c>
      <c r="CK265" s="492">
        <f t="shared" si="658"/>
        <v>0</v>
      </c>
      <c r="CL265" s="492">
        <f t="shared" si="659"/>
        <v>0</v>
      </c>
      <c r="CM265" s="492">
        <f t="shared" si="660"/>
        <v>1243528</v>
      </c>
      <c r="CN265" s="501">
        <f t="shared" si="661"/>
        <v>1726024</v>
      </c>
      <c r="CO265" s="492">
        <f t="shared" si="662"/>
        <v>0</v>
      </c>
      <c r="CP265" s="492">
        <f t="shared" si="663"/>
        <v>0</v>
      </c>
      <c r="CQ265" s="492">
        <f t="shared" si="664"/>
        <v>0</v>
      </c>
      <c r="CR265" s="492">
        <f t="shared" si="665"/>
        <v>1243528</v>
      </c>
      <c r="CS265" s="501">
        <f t="shared" ref="CS265:CS270" si="666">CN265-CO265-CP265-CQ265-CR265</f>
        <v>482496</v>
      </c>
      <c r="CT265" s="14"/>
    </row>
    <row r="266" spans="1:98" s="4" customFormat="1" ht="120" x14ac:dyDescent="0.3">
      <c r="A266" s="869"/>
      <c r="B266" s="852"/>
      <c r="C266" s="506" t="s">
        <v>552</v>
      </c>
      <c r="D266" s="503" t="s">
        <v>1652</v>
      </c>
      <c r="E266" s="503" t="s">
        <v>551</v>
      </c>
      <c r="F266" s="481" t="s">
        <v>547</v>
      </c>
      <c r="G266" s="503" t="s">
        <v>548</v>
      </c>
      <c r="H266" s="533">
        <v>818.72</v>
      </c>
      <c r="I266" s="503">
        <v>514.54999999999995</v>
      </c>
      <c r="J266" s="637">
        <v>514.54999999999995</v>
      </c>
      <c r="K266" s="503" t="s">
        <v>140</v>
      </c>
      <c r="L266" s="637">
        <v>514.54999999999995</v>
      </c>
      <c r="M266" s="643" t="s">
        <v>140</v>
      </c>
      <c r="N266" s="837"/>
      <c r="O266" s="885"/>
      <c r="P266" s="518"/>
      <c r="Q266" s="503">
        <v>514.54999999999995</v>
      </c>
      <c r="R266" s="503">
        <v>514.54999999999995</v>
      </c>
      <c r="S266" s="503">
        <v>514.54999999999995</v>
      </c>
      <c r="T266" s="503">
        <v>514.54999999999995</v>
      </c>
      <c r="U266" s="503">
        <v>815.55</v>
      </c>
      <c r="V266" s="476"/>
      <c r="W266" s="476"/>
      <c r="X266" s="476"/>
      <c r="Y266" s="476"/>
      <c r="Z266" s="476"/>
      <c r="AA266" s="494">
        <f t="shared" si="653"/>
        <v>272625</v>
      </c>
      <c r="AB266" s="491"/>
      <c r="AC266" s="491"/>
      <c r="AD266" s="491"/>
      <c r="AE266" s="491">
        <v>272625</v>
      </c>
      <c r="AF266" s="494">
        <f t="shared" si="654"/>
        <v>196293</v>
      </c>
      <c r="AG266" s="491"/>
      <c r="AH266" s="491"/>
      <c r="AI266" s="491"/>
      <c r="AJ266" s="491">
        <v>196293</v>
      </c>
      <c r="AK266" s="494">
        <f t="shared" si="655"/>
        <v>125775</v>
      </c>
      <c r="AL266" s="491"/>
      <c r="AM266" s="491"/>
      <c r="AN266" s="491"/>
      <c r="AO266" s="491">
        <v>125775</v>
      </c>
      <c r="AP266" s="138">
        <v>65000</v>
      </c>
      <c r="AQ266" s="491"/>
      <c r="AR266" s="491"/>
      <c r="AS266" s="491"/>
      <c r="AT266" s="491"/>
      <c r="AU266" s="138">
        <v>65000</v>
      </c>
      <c r="AV266" s="491"/>
      <c r="AW266" s="491"/>
      <c r="AX266" s="491"/>
      <c r="AY266" s="491"/>
      <c r="AZ266" s="138">
        <v>65000</v>
      </c>
      <c r="BA266" s="491"/>
      <c r="BB266" s="491"/>
      <c r="BC266" s="491"/>
      <c r="BD266" s="491"/>
      <c r="BE266" s="138">
        <v>65000</v>
      </c>
      <c r="BF266" s="491"/>
      <c r="BG266" s="491"/>
      <c r="BH266" s="491"/>
      <c r="BI266" s="491"/>
      <c r="BJ266" s="494"/>
      <c r="BK266" s="491"/>
      <c r="BL266" s="491"/>
      <c r="BM266" s="491"/>
      <c r="BN266" s="491"/>
      <c r="BO266" s="494"/>
      <c r="BP266" s="491"/>
      <c r="BQ266" s="491"/>
      <c r="BR266" s="491"/>
      <c r="BS266" s="491"/>
      <c r="BT266" s="494"/>
      <c r="BU266" s="491"/>
      <c r="BV266" s="491"/>
      <c r="BW266" s="491"/>
      <c r="BX266" s="491"/>
      <c r="BY266" s="494"/>
      <c r="BZ266" s="491"/>
      <c r="CA266" s="491"/>
      <c r="CB266" s="491"/>
      <c r="CC266" s="491"/>
      <c r="CD266" s="494"/>
      <c r="CE266" s="491"/>
      <c r="CF266" s="491"/>
      <c r="CG266" s="491"/>
      <c r="CH266" s="491"/>
      <c r="CI266" s="501">
        <f t="shared" si="656"/>
        <v>594693</v>
      </c>
      <c r="CJ266" s="492">
        <f t="shared" si="657"/>
        <v>0</v>
      </c>
      <c r="CK266" s="492">
        <f t="shared" si="658"/>
        <v>0</v>
      </c>
      <c r="CL266" s="492">
        <f t="shared" si="659"/>
        <v>0</v>
      </c>
      <c r="CM266" s="492">
        <f t="shared" si="660"/>
        <v>594693</v>
      </c>
      <c r="CN266" s="501">
        <f t="shared" si="661"/>
        <v>854693</v>
      </c>
      <c r="CO266" s="492">
        <f t="shared" si="662"/>
        <v>0</v>
      </c>
      <c r="CP266" s="492">
        <f t="shared" si="663"/>
        <v>0</v>
      </c>
      <c r="CQ266" s="492">
        <f t="shared" si="664"/>
        <v>0</v>
      </c>
      <c r="CR266" s="492">
        <f t="shared" si="665"/>
        <v>594693</v>
      </c>
      <c r="CS266" s="501">
        <f t="shared" si="666"/>
        <v>260000</v>
      </c>
      <c r="CT266" s="14"/>
    </row>
    <row r="267" spans="1:98" s="4" customFormat="1" ht="72" x14ac:dyDescent="0.3">
      <c r="A267" s="863"/>
      <c r="B267" s="805"/>
      <c r="C267" s="505" t="s">
        <v>1347</v>
      </c>
      <c r="D267" s="503" t="s">
        <v>1652</v>
      </c>
      <c r="E267" s="503" t="s">
        <v>551</v>
      </c>
      <c r="F267" s="481" t="s">
        <v>553</v>
      </c>
      <c r="G267" s="503" t="s">
        <v>62</v>
      </c>
      <c r="H267" s="534">
        <v>30</v>
      </c>
      <c r="I267" s="508">
        <v>26</v>
      </c>
      <c r="J267" s="633">
        <v>23</v>
      </c>
      <c r="K267" s="508" t="s">
        <v>140</v>
      </c>
      <c r="L267" s="633">
        <v>20</v>
      </c>
      <c r="M267" s="705">
        <v>49.4</v>
      </c>
      <c r="N267" s="838"/>
      <c r="O267" s="621"/>
      <c r="P267" s="518"/>
      <c r="Q267" s="503">
        <v>20</v>
      </c>
      <c r="R267" s="503">
        <v>17</v>
      </c>
      <c r="S267" s="503">
        <v>14</v>
      </c>
      <c r="T267" s="503">
        <v>13</v>
      </c>
      <c r="U267" s="503">
        <v>11</v>
      </c>
      <c r="V267" s="476"/>
      <c r="W267" s="476"/>
      <c r="X267" s="476"/>
      <c r="Y267" s="476"/>
      <c r="Z267" s="476"/>
      <c r="AA267" s="494">
        <f t="shared" si="653"/>
        <v>202984.9</v>
      </c>
      <c r="AB267" s="491">
        <v>74184.899999999994</v>
      </c>
      <c r="AC267" s="491">
        <v>50000</v>
      </c>
      <c r="AD267" s="491"/>
      <c r="AE267" s="491">
        <v>78800</v>
      </c>
      <c r="AF267" s="494">
        <v>128850</v>
      </c>
      <c r="AG267" s="491"/>
      <c r="AH267" s="491"/>
      <c r="AI267" s="491"/>
      <c r="AJ267" s="491">
        <v>78800</v>
      </c>
      <c r="AK267" s="494">
        <v>135000</v>
      </c>
      <c r="AL267" s="491"/>
      <c r="AM267" s="491"/>
      <c r="AN267" s="491"/>
      <c r="AO267" s="491">
        <v>78800</v>
      </c>
      <c r="AP267" s="138">
        <v>135000</v>
      </c>
      <c r="AQ267" s="491"/>
      <c r="AR267" s="491"/>
      <c r="AS267" s="491"/>
      <c r="AT267" s="491"/>
      <c r="AU267" s="138">
        <v>135000</v>
      </c>
      <c r="AV267" s="491"/>
      <c r="AW267" s="491"/>
      <c r="AX267" s="491"/>
      <c r="AY267" s="491"/>
      <c r="AZ267" s="138">
        <v>135000</v>
      </c>
      <c r="BA267" s="491"/>
      <c r="BB267" s="491"/>
      <c r="BC267" s="491"/>
      <c r="BD267" s="491"/>
      <c r="BE267" s="138">
        <v>222465</v>
      </c>
      <c r="BF267" s="491"/>
      <c r="BG267" s="491"/>
      <c r="BH267" s="491"/>
      <c r="BI267" s="491"/>
      <c r="BJ267" s="494"/>
      <c r="BK267" s="491"/>
      <c r="BL267" s="491"/>
      <c r="BM267" s="491"/>
      <c r="BN267" s="491"/>
      <c r="BO267" s="494"/>
      <c r="BP267" s="491"/>
      <c r="BQ267" s="491"/>
      <c r="BR267" s="491"/>
      <c r="BS267" s="491"/>
      <c r="BT267" s="494"/>
      <c r="BU267" s="491"/>
      <c r="BV267" s="491"/>
      <c r="BW267" s="491"/>
      <c r="BX267" s="491"/>
      <c r="BY267" s="494"/>
      <c r="BZ267" s="491"/>
      <c r="CA267" s="491"/>
      <c r="CB267" s="491"/>
      <c r="CC267" s="491"/>
      <c r="CD267" s="494"/>
      <c r="CE267" s="491"/>
      <c r="CF267" s="491"/>
      <c r="CG267" s="491"/>
      <c r="CH267" s="491"/>
      <c r="CI267" s="501">
        <f t="shared" si="656"/>
        <v>466834.9</v>
      </c>
      <c r="CJ267" s="492">
        <f t="shared" si="657"/>
        <v>74184.899999999994</v>
      </c>
      <c r="CK267" s="492">
        <f t="shared" si="658"/>
        <v>50000</v>
      </c>
      <c r="CL267" s="492">
        <f t="shared" si="659"/>
        <v>0</v>
      </c>
      <c r="CM267" s="492">
        <f t="shared" si="660"/>
        <v>236400</v>
      </c>
      <c r="CN267" s="501">
        <f t="shared" si="661"/>
        <v>1094299.8999999999</v>
      </c>
      <c r="CO267" s="492">
        <f t="shared" si="662"/>
        <v>74184.899999999994</v>
      </c>
      <c r="CP267" s="492">
        <f t="shared" si="663"/>
        <v>50000</v>
      </c>
      <c r="CQ267" s="492">
        <f t="shared" si="664"/>
        <v>0</v>
      </c>
      <c r="CR267" s="492">
        <f t="shared" si="665"/>
        <v>236400</v>
      </c>
      <c r="CS267" s="501">
        <f>CN267-CO267-CP267-CQ267-CR267</f>
        <v>733714.99999999988</v>
      </c>
      <c r="CT267" s="14"/>
    </row>
    <row r="268" spans="1:98" s="4" customFormat="1" ht="96" x14ac:dyDescent="0.3">
      <c r="A268" s="504" t="s">
        <v>554</v>
      </c>
      <c r="B268" s="505" t="s">
        <v>555</v>
      </c>
      <c r="C268" s="506" t="s">
        <v>1348</v>
      </c>
      <c r="D268" s="476" t="s">
        <v>1653</v>
      </c>
      <c r="E268" s="476">
        <v>2021</v>
      </c>
      <c r="F268" s="481" t="s">
        <v>556</v>
      </c>
      <c r="G268" s="503" t="s">
        <v>62</v>
      </c>
      <c r="H268" s="533">
        <v>0</v>
      </c>
      <c r="I268" s="503">
        <v>30</v>
      </c>
      <c r="J268" s="637">
        <v>70</v>
      </c>
      <c r="K268" s="503"/>
      <c r="L268" s="637">
        <v>100</v>
      </c>
      <c r="M268" s="705">
        <v>8</v>
      </c>
      <c r="N268" s="597"/>
      <c r="O268" s="617" t="s">
        <v>1709</v>
      </c>
      <c r="P268" s="444"/>
      <c r="Q268" s="503">
        <v>100</v>
      </c>
      <c r="R268" s="476"/>
      <c r="S268" s="476"/>
      <c r="T268" s="476"/>
      <c r="U268" s="476"/>
      <c r="V268" s="476"/>
      <c r="W268" s="476"/>
      <c r="X268" s="476"/>
      <c r="Y268" s="476"/>
      <c r="Z268" s="476"/>
      <c r="AA268" s="494"/>
      <c r="AB268" s="491"/>
      <c r="AC268" s="491"/>
      <c r="AD268" s="491"/>
      <c r="AE268" s="491"/>
      <c r="AF268" s="494"/>
      <c r="AG268" s="491"/>
      <c r="AH268" s="491"/>
      <c r="AI268" s="491"/>
      <c r="AJ268" s="491"/>
      <c r="AK268" s="494">
        <f>525625*2</f>
        <v>1051250</v>
      </c>
      <c r="AL268" s="491"/>
      <c r="AM268" s="491"/>
      <c r="AN268" s="491"/>
      <c r="AO268" s="491"/>
      <c r="AP268" s="138"/>
      <c r="AQ268" s="491"/>
      <c r="AR268" s="491"/>
      <c r="AS268" s="491"/>
      <c r="AT268" s="491"/>
      <c r="AU268" s="138"/>
      <c r="AV268" s="491"/>
      <c r="AW268" s="491"/>
      <c r="AX268" s="491"/>
      <c r="AY268" s="491"/>
      <c r="AZ268" s="138"/>
      <c r="BA268" s="491"/>
      <c r="BB268" s="491"/>
      <c r="BC268" s="491"/>
      <c r="BD268" s="491"/>
      <c r="BE268" s="138"/>
      <c r="BF268" s="491"/>
      <c r="BG268" s="491"/>
      <c r="BH268" s="491"/>
      <c r="BI268" s="491"/>
      <c r="BJ268" s="494"/>
      <c r="BK268" s="491"/>
      <c r="BL268" s="491"/>
      <c r="BM268" s="491"/>
      <c r="BN268" s="491"/>
      <c r="BO268" s="494"/>
      <c r="BP268" s="491"/>
      <c r="BQ268" s="491"/>
      <c r="BR268" s="491"/>
      <c r="BS268" s="491"/>
      <c r="BT268" s="494"/>
      <c r="BU268" s="491"/>
      <c r="BV268" s="491"/>
      <c r="BW268" s="491"/>
      <c r="BX268" s="491"/>
      <c r="BY268" s="494"/>
      <c r="BZ268" s="491"/>
      <c r="CA268" s="491"/>
      <c r="CB268" s="491"/>
      <c r="CC268" s="491"/>
      <c r="CD268" s="494"/>
      <c r="CE268" s="491"/>
      <c r="CF268" s="491"/>
      <c r="CG268" s="491"/>
      <c r="CH268" s="491"/>
      <c r="CI268" s="501">
        <f t="shared" si="656"/>
        <v>1051250</v>
      </c>
      <c r="CJ268" s="492">
        <f t="shared" si="657"/>
        <v>0</v>
      </c>
      <c r="CK268" s="492">
        <f t="shared" si="658"/>
        <v>0</v>
      </c>
      <c r="CL268" s="492">
        <f t="shared" si="659"/>
        <v>0</v>
      </c>
      <c r="CM268" s="492">
        <f t="shared" si="660"/>
        <v>0</v>
      </c>
      <c r="CN268" s="501">
        <f t="shared" si="661"/>
        <v>1051250</v>
      </c>
      <c r="CO268" s="492">
        <f t="shared" si="662"/>
        <v>0</v>
      </c>
      <c r="CP268" s="492">
        <f t="shared" si="663"/>
        <v>0</v>
      </c>
      <c r="CQ268" s="492">
        <f t="shared" si="664"/>
        <v>0</v>
      </c>
      <c r="CR268" s="492">
        <f t="shared" si="665"/>
        <v>0</v>
      </c>
      <c r="CS268" s="501">
        <f>CN268-CO268-CP268-CQ268-CR268</f>
        <v>1051250</v>
      </c>
      <c r="CT268" s="14"/>
    </row>
    <row r="269" spans="1:98" s="4" customFormat="1" ht="120" x14ac:dyDescent="0.3">
      <c r="A269" s="862" t="s">
        <v>557</v>
      </c>
      <c r="B269" s="839" t="s">
        <v>558</v>
      </c>
      <c r="C269" s="188" t="s">
        <v>999</v>
      </c>
      <c r="D269" s="187" t="s">
        <v>1652</v>
      </c>
      <c r="E269" s="187" t="s">
        <v>551</v>
      </c>
      <c r="F269" s="192" t="s">
        <v>998</v>
      </c>
      <c r="G269" s="187" t="s">
        <v>559</v>
      </c>
      <c r="H269" s="533">
        <v>0</v>
      </c>
      <c r="I269" s="187">
        <v>10</v>
      </c>
      <c r="J269" s="637">
        <v>14</v>
      </c>
      <c r="K269" s="289">
        <v>14</v>
      </c>
      <c r="L269" s="637">
        <v>5</v>
      </c>
      <c r="M269" s="643">
        <v>5</v>
      </c>
      <c r="N269" s="444"/>
      <c r="O269" s="884" t="s">
        <v>1550</v>
      </c>
      <c r="P269" s="444"/>
      <c r="Q269" s="187">
        <v>5</v>
      </c>
      <c r="R269" s="187">
        <v>2</v>
      </c>
      <c r="S269" s="187">
        <v>2</v>
      </c>
      <c r="T269" s="187">
        <v>2</v>
      </c>
      <c r="U269" s="187">
        <v>2</v>
      </c>
      <c r="V269" s="193"/>
      <c r="W269" s="193"/>
      <c r="X269" s="193"/>
      <c r="Y269" s="193"/>
      <c r="Z269" s="193"/>
      <c r="AA269" s="165">
        <f t="shared" si="653"/>
        <v>184488</v>
      </c>
      <c r="AB269" s="164"/>
      <c r="AC269" s="164"/>
      <c r="AD269" s="164"/>
      <c r="AE269" s="164">
        <v>184488</v>
      </c>
      <c r="AF269" s="165">
        <f t="shared" si="654"/>
        <v>119232</v>
      </c>
      <c r="AG269" s="164"/>
      <c r="AH269" s="164"/>
      <c r="AI269" s="164"/>
      <c r="AJ269" s="164">
        <v>119232</v>
      </c>
      <c r="AK269" s="165">
        <f t="shared" si="655"/>
        <v>161558</v>
      </c>
      <c r="AL269" s="164"/>
      <c r="AM269" s="164"/>
      <c r="AN269" s="164"/>
      <c r="AO269" s="164">
        <v>161558</v>
      </c>
      <c r="AP269" s="138">
        <v>183000</v>
      </c>
      <c r="AQ269" s="164"/>
      <c r="AR269" s="164"/>
      <c r="AS269" s="164"/>
      <c r="AT269" s="164"/>
      <c r="AU269" s="138">
        <v>183000</v>
      </c>
      <c r="AV269" s="164"/>
      <c r="AW269" s="164"/>
      <c r="AX269" s="164"/>
      <c r="AY269" s="164"/>
      <c r="AZ269" s="138">
        <v>117000</v>
      </c>
      <c r="BA269" s="164"/>
      <c r="BB269" s="164"/>
      <c r="BC269" s="164"/>
      <c r="BD269" s="164"/>
      <c r="BE269" s="138">
        <v>161000</v>
      </c>
      <c r="BF269" s="164"/>
      <c r="BG269" s="164"/>
      <c r="BH269" s="164"/>
      <c r="BI269" s="164"/>
      <c r="BJ269" s="165"/>
      <c r="BK269" s="164"/>
      <c r="BL269" s="164"/>
      <c r="BM269" s="164"/>
      <c r="BN269" s="164"/>
      <c r="BO269" s="165"/>
      <c r="BP269" s="164"/>
      <c r="BQ269" s="164"/>
      <c r="BR269" s="164"/>
      <c r="BS269" s="164"/>
      <c r="BT269" s="165"/>
      <c r="BU269" s="164"/>
      <c r="BV269" s="164"/>
      <c r="BW269" s="164"/>
      <c r="BX269" s="164"/>
      <c r="BY269" s="165"/>
      <c r="BZ269" s="164"/>
      <c r="CA269" s="164"/>
      <c r="CB269" s="164"/>
      <c r="CC269" s="164"/>
      <c r="CD269" s="165"/>
      <c r="CE269" s="164"/>
      <c r="CF269" s="164"/>
      <c r="CG269" s="164"/>
      <c r="CH269" s="164"/>
      <c r="CI269" s="181">
        <f t="shared" si="656"/>
        <v>465278</v>
      </c>
      <c r="CJ269" s="180">
        <f t="shared" si="657"/>
        <v>0</v>
      </c>
      <c r="CK269" s="180">
        <f t="shared" si="658"/>
        <v>0</v>
      </c>
      <c r="CL269" s="180">
        <f t="shared" si="659"/>
        <v>0</v>
      </c>
      <c r="CM269" s="180">
        <f t="shared" si="660"/>
        <v>465278</v>
      </c>
      <c r="CN269" s="181">
        <f t="shared" si="661"/>
        <v>1109278</v>
      </c>
      <c r="CO269" s="180">
        <f t="shared" si="662"/>
        <v>0</v>
      </c>
      <c r="CP269" s="180">
        <f t="shared" si="663"/>
        <v>0</v>
      </c>
      <c r="CQ269" s="180">
        <f t="shared" si="664"/>
        <v>0</v>
      </c>
      <c r="CR269" s="180">
        <f t="shared" si="665"/>
        <v>465278</v>
      </c>
      <c r="CS269" s="273">
        <f>CN269-CO269-CP269-CQ269-CR269</f>
        <v>644000</v>
      </c>
      <c r="CT269" s="14"/>
    </row>
    <row r="270" spans="1:98" s="4" customFormat="1" ht="96" x14ac:dyDescent="0.3">
      <c r="A270" s="869"/>
      <c r="B270" s="856"/>
      <c r="C270" s="188" t="s">
        <v>1000</v>
      </c>
      <c r="D270" s="187" t="s">
        <v>1652</v>
      </c>
      <c r="E270" s="187" t="s">
        <v>551</v>
      </c>
      <c r="F270" s="192" t="s">
        <v>998</v>
      </c>
      <c r="G270" s="187" t="s">
        <v>559</v>
      </c>
      <c r="H270" s="533">
        <v>0</v>
      </c>
      <c r="I270" s="187">
        <v>50</v>
      </c>
      <c r="J270" s="637">
        <v>50</v>
      </c>
      <c r="K270" s="289">
        <v>50</v>
      </c>
      <c r="L270" s="637">
        <v>54</v>
      </c>
      <c r="M270" s="643">
        <v>54</v>
      </c>
      <c r="N270" s="444"/>
      <c r="O270" s="885"/>
      <c r="P270" s="444"/>
      <c r="Q270" s="187">
        <v>54</v>
      </c>
      <c r="R270" s="187">
        <v>67</v>
      </c>
      <c r="S270" s="187">
        <v>63</v>
      </c>
      <c r="T270" s="187">
        <v>54</v>
      </c>
      <c r="U270" s="187">
        <v>65</v>
      </c>
      <c r="V270" s="193"/>
      <c r="W270" s="193"/>
      <c r="X270" s="193"/>
      <c r="Y270" s="193"/>
      <c r="Z270" s="193"/>
      <c r="AA270" s="165">
        <f t="shared" si="653"/>
        <v>465508</v>
      </c>
      <c r="AB270" s="164"/>
      <c r="AC270" s="164"/>
      <c r="AD270" s="164"/>
      <c r="AE270" s="180">
        <v>465508</v>
      </c>
      <c r="AF270" s="165">
        <f t="shared" si="654"/>
        <v>522214</v>
      </c>
      <c r="AG270" s="164"/>
      <c r="AH270" s="164"/>
      <c r="AI270" s="164"/>
      <c r="AJ270" s="164">
        <v>522214</v>
      </c>
      <c r="AK270" s="165">
        <f t="shared" si="655"/>
        <v>28259</v>
      </c>
      <c r="AL270" s="164"/>
      <c r="AM270" s="164"/>
      <c r="AN270" s="164"/>
      <c r="AO270" s="164">
        <v>28259</v>
      </c>
      <c r="AP270" s="138">
        <v>98</v>
      </c>
      <c r="AQ270" s="164"/>
      <c r="AR270" s="164"/>
      <c r="AS270" s="164"/>
      <c r="AT270" s="164"/>
      <c r="AU270" s="138">
        <v>93</v>
      </c>
      <c r="AV270" s="164"/>
      <c r="AW270" s="164"/>
      <c r="AX270" s="164"/>
      <c r="AY270" s="164"/>
      <c r="AZ270" s="138">
        <v>78</v>
      </c>
      <c r="BA270" s="164"/>
      <c r="BB270" s="164"/>
      <c r="BC270" s="164"/>
      <c r="BD270" s="164"/>
      <c r="BE270" s="138">
        <v>95</v>
      </c>
      <c r="BF270" s="164"/>
      <c r="BG270" s="164"/>
      <c r="BH270" s="164"/>
      <c r="BI270" s="164"/>
      <c r="BJ270" s="165"/>
      <c r="BK270" s="164"/>
      <c r="BL270" s="164"/>
      <c r="BM270" s="164"/>
      <c r="BN270" s="164"/>
      <c r="BO270" s="165"/>
      <c r="BP270" s="164"/>
      <c r="BQ270" s="164"/>
      <c r="BR270" s="164"/>
      <c r="BS270" s="164"/>
      <c r="BT270" s="165"/>
      <c r="BU270" s="164"/>
      <c r="BV270" s="164"/>
      <c r="BW270" s="164"/>
      <c r="BX270" s="164"/>
      <c r="BY270" s="165"/>
      <c r="BZ270" s="164"/>
      <c r="CA270" s="164"/>
      <c r="CB270" s="164"/>
      <c r="CC270" s="164"/>
      <c r="CD270" s="165"/>
      <c r="CE270" s="164"/>
      <c r="CF270" s="164"/>
      <c r="CG270" s="164"/>
      <c r="CH270" s="164"/>
      <c r="CI270" s="181">
        <f t="shared" ref="CI270:CI275" si="667">AA270+AF270+AK270</f>
        <v>1015981</v>
      </c>
      <c r="CJ270" s="180">
        <f t="shared" ref="CJ270:CJ275" si="668">AB270+AG270+AL270</f>
        <v>0</v>
      </c>
      <c r="CK270" s="180">
        <f t="shared" ref="CK270:CK275" si="669">AC270+AH270+AM270</f>
        <v>0</v>
      </c>
      <c r="CL270" s="180">
        <f t="shared" ref="CL270:CL275" si="670">AD270+AI270+AN270</f>
        <v>0</v>
      </c>
      <c r="CM270" s="180">
        <f t="shared" ref="CM270:CM275" si="671">AE270+AJ270+AO270</f>
        <v>1015981</v>
      </c>
      <c r="CN270" s="181">
        <f t="shared" si="661"/>
        <v>1016345</v>
      </c>
      <c r="CO270" s="180">
        <f t="shared" si="662"/>
        <v>0</v>
      </c>
      <c r="CP270" s="180">
        <f t="shared" si="663"/>
        <v>0</v>
      </c>
      <c r="CQ270" s="180">
        <f t="shared" si="664"/>
        <v>0</v>
      </c>
      <c r="CR270" s="180">
        <f t="shared" si="665"/>
        <v>1015981</v>
      </c>
      <c r="CS270" s="273">
        <f t="shared" si="666"/>
        <v>364</v>
      </c>
      <c r="CT270" s="14"/>
    </row>
    <row r="271" spans="1:98" s="4" customFormat="1" ht="240" x14ac:dyDescent="0.35">
      <c r="A271" s="863"/>
      <c r="B271" s="840"/>
      <c r="C271" s="188" t="s">
        <v>1001</v>
      </c>
      <c r="D271" s="187" t="s">
        <v>1652</v>
      </c>
      <c r="E271" s="187" t="s">
        <v>273</v>
      </c>
      <c r="F271" s="192" t="s">
        <v>998</v>
      </c>
      <c r="G271" s="187" t="s">
        <v>559</v>
      </c>
      <c r="H271" s="533">
        <v>0</v>
      </c>
      <c r="I271" s="187">
        <v>32</v>
      </c>
      <c r="J271" s="637">
        <v>58</v>
      </c>
      <c r="K271" s="289">
        <v>58</v>
      </c>
      <c r="L271" s="637"/>
      <c r="M271" s="643"/>
      <c r="N271" s="444"/>
      <c r="O271" s="625"/>
      <c r="P271" s="444"/>
      <c r="Q271" s="187"/>
      <c r="R271" s="187"/>
      <c r="S271" s="187"/>
      <c r="T271" s="187"/>
      <c r="U271" s="187"/>
      <c r="V271" s="193"/>
      <c r="W271" s="193"/>
      <c r="X271" s="193"/>
      <c r="Y271" s="193"/>
      <c r="Z271" s="193"/>
      <c r="AA271" s="165">
        <f t="shared" si="653"/>
        <v>249685</v>
      </c>
      <c r="AB271" s="164"/>
      <c r="AC271" s="164"/>
      <c r="AD271" s="164"/>
      <c r="AE271" s="180">
        <v>249685</v>
      </c>
      <c r="AF271" s="165">
        <f t="shared" si="654"/>
        <v>7680</v>
      </c>
      <c r="AG271" s="164"/>
      <c r="AH271" s="164"/>
      <c r="AI271" s="164"/>
      <c r="AJ271" s="164">
        <v>7680</v>
      </c>
      <c r="AK271" s="165"/>
      <c r="AL271" s="164"/>
      <c r="AM271" s="164"/>
      <c r="AN271" s="164"/>
      <c r="AO271" s="164"/>
      <c r="AP271" s="138"/>
      <c r="AQ271" s="164"/>
      <c r="AR271" s="164"/>
      <c r="AS271" s="164"/>
      <c r="AT271" s="164"/>
      <c r="AU271" s="138"/>
      <c r="AV271" s="164"/>
      <c r="AW271" s="164"/>
      <c r="AX271" s="164"/>
      <c r="AY271" s="164"/>
      <c r="AZ271" s="138"/>
      <c r="BA271" s="164"/>
      <c r="BB271" s="164"/>
      <c r="BC271" s="164"/>
      <c r="BD271" s="164"/>
      <c r="BE271" s="165"/>
      <c r="BF271" s="164"/>
      <c r="BG271" s="164"/>
      <c r="BH271" s="164"/>
      <c r="BI271" s="164"/>
      <c r="BJ271" s="165"/>
      <c r="BK271" s="164"/>
      <c r="BL271" s="164"/>
      <c r="BM271" s="164"/>
      <c r="BN271" s="164"/>
      <c r="BO271" s="165"/>
      <c r="BP271" s="164"/>
      <c r="BQ271" s="164"/>
      <c r="BR271" s="164"/>
      <c r="BS271" s="164"/>
      <c r="BT271" s="165"/>
      <c r="BU271" s="164"/>
      <c r="BV271" s="164"/>
      <c r="BW271" s="164"/>
      <c r="BX271" s="164"/>
      <c r="BY271" s="165"/>
      <c r="BZ271" s="164"/>
      <c r="CA271" s="164"/>
      <c r="CB271" s="164"/>
      <c r="CC271" s="164"/>
      <c r="CD271" s="165"/>
      <c r="CE271" s="164"/>
      <c r="CF271" s="164"/>
      <c r="CG271" s="164"/>
      <c r="CH271" s="164"/>
      <c r="CI271" s="181">
        <f t="shared" si="667"/>
        <v>257365</v>
      </c>
      <c r="CJ271" s="180">
        <f t="shared" si="668"/>
        <v>0</v>
      </c>
      <c r="CK271" s="180">
        <f t="shared" si="669"/>
        <v>0</v>
      </c>
      <c r="CL271" s="180">
        <f t="shared" si="670"/>
        <v>0</v>
      </c>
      <c r="CM271" s="180">
        <f t="shared" si="671"/>
        <v>257365</v>
      </c>
      <c r="CN271" s="181">
        <f t="shared" si="661"/>
        <v>257365</v>
      </c>
      <c r="CO271" s="180">
        <f t="shared" si="662"/>
        <v>0</v>
      </c>
      <c r="CP271" s="180">
        <f t="shared" si="663"/>
        <v>0</v>
      </c>
      <c r="CQ271" s="180">
        <f t="shared" si="664"/>
        <v>0</v>
      </c>
      <c r="CR271" s="180">
        <f t="shared" si="665"/>
        <v>257365</v>
      </c>
      <c r="CS271" s="273">
        <f>CN271-CO271-CP271-CQ271-CR271</f>
        <v>0</v>
      </c>
      <c r="CT271" s="14"/>
    </row>
    <row r="272" spans="1:98" s="4" customFormat="1" ht="168" x14ac:dyDescent="0.3">
      <c r="A272" s="862" t="s">
        <v>560</v>
      </c>
      <c r="B272" s="804" t="s">
        <v>561</v>
      </c>
      <c r="C272" s="188" t="s">
        <v>562</v>
      </c>
      <c r="D272" s="187" t="s">
        <v>563</v>
      </c>
      <c r="E272" s="187" t="s">
        <v>124</v>
      </c>
      <c r="F272" s="192" t="s">
        <v>547</v>
      </c>
      <c r="G272" s="187" t="s">
        <v>564</v>
      </c>
      <c r="H272" s="533">
        <v>451</v>
      </c>
      <c r="I272" s="187">
        <v>461</v>
      </c>
      <c r="J272" s="637">
        <v>471</v>
      </c>
      <c r="K272" s="521"/>
      <c r="L272" s="637">
        <v>481</v>
      </c>
      <c r="M272" s="643"/>
      <c r="N272" s="617" t="s">
        <v>1550</v>
      </c>
      <c r="O272" s="617"/>
      <c r="P272" s="617"/>
      <c r="Q272" s="187">
        <v>481</v>
      </c>
      <c r="R272" s="187">
        <v>491</v>
      </c>
      <c r="S272" s="187">
        <v>501</v>
      </c>
      <c r="T272" s="187">
        <v>511</v>
      </c>
      <c r="U272" s="187"/>
      <c r="V272" s="193"/>
      <c r="W272" s="193"/>
      <c r="X272" s="193"/>
      <c r="Y272" s="193"/>
      <c r="Z272" s="193"/>
      <c r="AA272" s="165">
        <f t="shared" si="653"/>
        <v>1111538</v>
      </c>
      <c r="AB272" s="164"/>
      <c r="AC272" s="164"/>
      <c r="AD272" s="164"/>
      <c r="AE272" s="180">
        <v>1111538</v>
      </c>
      <c r="AF272" s="165">
        <f t="shared" si="654"/>
        <v>1274946</v>
      </c>
      <c r="AG272" s="164"/>
      <c r="AH272" s="164"/>
      <c r="AI272" s="164"/>
      <c r="AJ272" s="164">
        <v>1274946</v>
      </c>
      <c r="AK272" s="165">
        <f t="shared" si="655"/>
        <v>1269734</v>
      </c>
      <c r="AL272" s="164"/>
      <c r="AM272" s="164"/>
      <c r="AN272" s="164"/>
      <c r="AO272" s="164">
        <v>1269734</v>
      </c>
      <c r="AP272" s="138">
        <v>127500</v>
      </c>
      <c r="AQ272" s="164"/>
      <c r="AR272" s="164"/>
      <c r="AS272" s="164"/>
      <c r="AT272" s="164"/>
      <c r="AU272" s="138">
        <v>126000</v>
      </c>
      <c r="AV272" s="164"/>
      <c r="AW272" s="164"/>
      <c r="AX272" s="164"/>
      <c r="AY272" s="164"/>
      <c r="AZ272" s="138">
        <v>112500</v>
      </c>
      <c r="BA272" s="164"/>
      <c r="BB272" s="164"/>
      <c r="BC272" s="164"/>
      <c r="BD272" s="164"/>
      <c r="BE272" s="165"/>
      <c r="BF272" s="164"/>
      <c r="BG272" s="164"/>
      <c r="BH272" s="164"/>
      <c r="BI272" s="164"/>
      <c r="BJ272" s="165"/>
      <c r="BK272" s="164"/>
      <c r="BL272" s="164"/>
      <c r="BM272" s="164"/>
      <c r="BN272" s="164"/>
      <c r="BO272" s="165"/>
      <c r="BP272" s="164"/>
      <c r="BQ272" s="164"/>
      <c r="BR272" s="164"/>
      <c r="BS272" s="164"/>
      <c r="BT272" s="165"/>
      <c r="BU272" s="164"/>
      <c r="BV272" s="164"/>
      <c r="BW272" s="164"/>
      <c r="BX272" s="164"/>
      <c r="BY272" s="165"/>
      <c r="BZ272" s="164"/>
      <c r="CA272" s="164"/>
      <c r="CB272" s="164"/>
      <c r="CC272" s="164"/>
      <c r="CD272" s="165"/>
      <c r="CE272" s="164"/>
      <c r="CF272" s="164"/>
      <c r="CG272" s="164"/>
      <c r="CH272" s="164"/>
      <c r="CI272" s="181">
        <f t="shared" si="667"/>
        <v>3656218</v>
      </c>
      <c r="CJ272" s="180">
        <f t="shared" si="668"/>
        <v>0</v>
      </c>
      <c r="CK272" s="180">
        <f t="shared" si="669"/>
        <v>0</v>
      </c>
      <c r="CL272" s="180">
        <f t="shared" si="670"/>
        <v>0</v>
      </c>
      <c r="CM272" s="180">
        <f t="shared" si="671"/>
        <v>3656218</v>
      </c>
      <c r="CN272" s="181">
        <f t="shared" si="661"/>
        <v>4022218</v>
      </c>
      <c r="CO272" s="180">
        <f t="shared" si="662"/>
        <v>0</v>
      </c>
      <c r="CP272" s="180">
        <f t="shared" si="663"/>
        <v>0</v>
      </c>
      <c r="CQ272" s="180">
        <f t="shared" si="664"/>
        <v>0</v>
      </c>
      <c r="CR272" s="180">
        <f t="shared" si="665"/>
        <v>3656218</v>
      </c>
      <c r="CS272" s="273">
        <f t="shared" ref="CS272:CS275" si="672">CN272-CO272-CP272-CQ272-CR272</f>
        <v>366000</v>
      </c>
      <c r="CT272" s="14"/>
    </row>
    <row r="273" spans="1:98" s="4" customFormat="1" ht="144" x14ac:dyDescent="0.35">
      <c r="A273" s="863"/>
      <c r="B273" s="805"/>
      <c r="C273" s="188" t="s">
        <v>565</v>
      </c>
      <c r="D273" s="187" t="s">
        <v>563</v>
      </c>
      <c r="E273" s="187">
        <v>2019</v>
      </c>
      <c r="F273" s="192" t="s">
        <v>566</v>
      </c>
      <c r="G273" s="187" t="s">
        <v>559</v>
      </c>
      <c r="H273" s="533">
        <v>0</v>
      </c>
      <c r="I273" s="187">
        <v>7</v>
      </c>
      <c r="J273" s="637"/>
      <c r="K273" s="289" t="s">
        <v>1465</v>
      </c>
      <c r="L273" s="637"/>
      <c r="M273" s="643"/>
      <c r="N273" s="444"/>
      <c r="O273" s="625"/>
      <c r="P273" s="444"/>
      <c r="Q273" s="187"/>
      <c r="R273" s="187"/>
      <c r="S273" s="187"/>
      <c r="T273" s="187"/>
      <c r="U273" s="187"/>
      <c r="V273" s="193"/>
      <c r="W273" s="193"/>
      <c r="X273" s="193"/>
      <c r="Y273" s="193"/>
      <c r="Z273" s="193"/>
      <c r="AA273" s="165">
        <f t="shared" si="653"/>
        <v>14000</v>
      </c>
      <c r="AB273" s="164"/>
      <c r="AC273" s="164"/>
      <c r="AD273" s="164"/>
      <c r="AE273" s="180">
        <v>14000</v>
      </c>
      <c r="AF273" s="165"/>
      <c r="AG273" s="164"/>
      <c r="AH273" s="164"/>
      <c r="AI273" s="164"/>
      <c r="AJ273" s="164"/>
      <c r="AK273" s="165"/>
      <c r="AL273" s="164"/>
      <c r="AM273" s="164"/>
      <c r="AN273" s="164"/>
      <c r="AO273" s="164"/>
      <c r="AP273" s="165"/>
      <c r="AQ273" s="164"/>
      <c r="AR273" s="164"/>
      <c r="AS273" s="164"/>
      <c r="AT273" s="164"/>
      <c r="AU273" s="165"/>
      <c r="AV273" s="164"/>
      <c r="AW273" s="164"/>
      <c r="AX273" s="164"/>
      <c r="AY273" s="164"/>
      <c r="AZ273" s="165"/>
      <c r="BA273" s="164"/>
      <c r="BB273" s="164"/>
      <c r="BC273" s="164"/>
      <c r="BD273" s="164"/>
      <c r="BE273" s="165"/>
      <c r="BF273" s="164"/>
      <c r="BG273" s="164"/>
      <c r="BH273" s="164"/>
      <c r="BI273" s="164"/>
      <c r="BJ273" s="165"/>
      <c r="BK273" s="164"/>
      <c r="BL273" s="164"/>
      <c r="BM273" s="164"/>
      <c r="BN273" s="164"/>
      <c r="BO273" s="165"/>
      <c r="BP273" s="164"/>
      <c r="BQ273" s="164"/>
      <c r="BR273" s="164"/>
      <c r="BS273" s="164"/>
      <c r="BT273" s="165"/>
      <c r="BU273" s="164"/>
      <c r="BV273" s="164"/>
      <c r="BW273" s="164"/>
      <c r="BX273" s="164"/>
      <c r="BY273" s="165"/>
      <c r="BZ273" s="164"/>
      <c r="CA273" s="164"/>
      <c r="CB273" s="164"/>
      <c r="CC273" s="164"/>
      <c r="CD273" s="165"/>
      <c r="CE273" s="164"/>
      <c r="CF273" s="164"/>
      <c r="CG273" s="164"/>
      <c r="CH273" s="164"/>
      <c r="CI273" s="181">
        <f t="shared" si="667"/>
        <v>14000</v>
      </c>
      <c r="CJ273" s="180">
        <f t="shared" si="668"/>
        <v>0</v>
      </c>
      <c r="CK273" s="180">
        <f t="shared" si="669"/>
        <v>0</v>
      </c>
      <c r="CL273" s="180">
        <f t="shared" si="670"/>
        <v>0</v>
      </c>
      <c r="CM273" s="180">
        <f t="shared" si="671"/>
        <v>14000</v>
      </c>
      <c r="CN273" s="181">
        <f t="shared" si="661"/>
        <v>14000</v>
      </c>
      <c r="CO273" s="180">
        <f t="shared" si="662"/>
        <v>0</v>
      </c>
      <c r="CP273" s="180">
        <f t="shared" si="663"/>
        <v>0</v>
      </c>
      <c r="CQ273" s="180">
        <f t="shared" si="664"/>
        <v>0</v>
      </c>
      <c r="CR273" s="180">
        <f t="shared" si="665"/>
        <v>14000</v>
      </c>
      <c r="CS273" s="273">
        <f t="shared" si="672"/>
        <v>0</v>
      </c>
      <c r="CT273" s="14"/>
    </row>
    <row r="274" spans="1:98" s="4" customFormat="1" ht="72" x14ac:dyDescent="0.3">
      <c r="A274" s="862" t="s">
        <v>567</v>
      </c>
      <c r="B274" s="804" t="s">
        <v>568</v>
      </c>
      <c r="C274" s="189" t="s">
        <v>569</v>
      </c>
      <c r="D274" s="187" t="s">
        <v>570</v>
      </c>
      <c r="E274" s="187" t="s">
        <v>322</v>
      </c>
      <c r="F274" s="192" t="s">
        <v>510</v>
      </c>
      <c r="G274" s="187" t="s">
        <v>62</v>
      </c>
      <c r="H274" s="533">
        <v>77.8</v>
      </c>
      <c r="I274" s="187">
        <v>86</v>
      </c>
      <c r="J274" s="637">
        <v>81.8</v>
      </c>
      <c r="K274" s="289">
        <v>0</v>
      </c>
      <c r="L274" s="637">
        <v>81.8</v>
      </c>
      <c r="M274" s="643"/>
      <c r="N274" s="617" t="s">
        <v>1564</v>
      </c>
      <c r="O274" s="617"/>
      <c r="P274" s="617"/>
      <c r="Q274" s="187">
        <v>81.8</v>
      </c>
      <c r="R274" s="187">
        <v>77.8</v>
      </c>
      <c r="S274" s="187">
        <v>70.2</v>
      </c>
      <c r="T274" s="187">
        <v>63.3</v>
      </c>
      <c r="U274" s="187">
        <v>56.9</v>
      </c>
      <c r="V274" s="193"/>
      <c r="W274" s="193"/>
      <c r="X274" s="193"/>
      <c r="Y274" s="193"/>
      <c r="Z274" s="193"/>
      <c r="AA274" s="165"/>
      <c r="AB274" s="164"/>
      <c r="AC274" s="164"/>
      <c r="AD274" s="164"/>
      <c r="AE274" s="180"/>
      <c r="AF274" s="165">
        <v>233710</v>
      </c>
      <c r="AG274" s="164"/>
      <c r="AH274" s="164"/>
      <c r="AI274" s="164"/>
      <c r="AJ274" s="164"/>
      <c r="AK274" s="165">
        <v>135000</v>
      </c>
      <c r="AL274" s="164"/>
      <c r="AM274" s="164"/>
      <c r="AN274" s="164"/>
      <c r="AO274" s="164"/>
      <c r="AP274" s="165">
        <v>145760</v>
      </c>
      <c r="AQ274" s="164"/>
      <c r="AR274" s="164"/>
      <c r="AS274" s="164"/>
      <c r="AT274" s="164"/>
      <c r="AU274" s="165">
        <v>190000</v>
      </c>
      <c r="AV274" s="164"/>
      <c r="AW274" s="164"/>
      <c r="AX274" s="164"/>
      <c r="AY274" s="164"/>
      <c r="AZ274" s="165">
        <v>126200</v>
      </c>
      <c r="BA274" s="164"/>
      <c r="BB274" s="164"/>
      <c r="BC274" s="164"/>
      <c r="BD274" s="164"/>
      <c r="BE274" s="165">
        <v>22950</v>
      </c>
      <c r="BF274" s="164"/>
      <c r="BG274" s="164"/>
      <c r="BH274" s="164"/>
      <c r="BI274" s="164"/>
      <c r="BJ274" s="165"/>
      <c r="BK274" s="164"/>
      <c r="BL274" s="164"/>
      <c r="BM274" s="164"/>
      <c r="BN274" s="164"/>
      <c r="BO274" s="165"/>
      <c r="BP274" s="164"/>
      <c r="BQ274" s="164"/>
      <c r="BR274" s="164"/>
      <c r="BS274" s="164"/>
      <c r="BT274" s="165"/>
      <c r="BU274" s="164"/>
      <c r="BV274" s="164"/>
      <c r="BW274" s="164"/>
      <c r="BX274" s="164"/>
      <c r="BY274" s="165"/>
      <c r="BZ274" s="164"/>
      <c r="CA274" s="164"/>
      <c r="CB274" s="164"/>
      <c r="CC274" s="164"/>
      <c r="CD274" s="165"/>
      <c r="CE274" s="164"/>
      <c r="CF274" s="164"/>
      <c r="CG274" s="164"/>
      <c r="CH274" s="164"/>
      <c r="CI274" s="181">
        <f t="shared" si="667"/>
        <v>368710</v>
      </c>
      <c r="CJ274" s="180">
        <f t="shared" si="668"/>
        <v>0</v>
      </c>
      <c r="CK274" s="180">
        <f t="shared" si="669"/>
        <v>0</v>
      </c>
      <c r="CL274" s="180">
        <f t="shared" si="670"/>
        <v>0</v>
      </c>
      <c r="CM274" s="180">
        <f t="shared" si="671"/>
        <v>0</v>
      </c>
      <c r="CN274" s="181">
        <f t="shared" si="661"/>
        <v>853620</v>
      </c>
      <c r="CO274" s="180">
        <f t="shared" si="662"/>
        <v>0</v>
      </c>
      <c r="CP274" s="180">
        <f t="shared" si="663"/>
        <v>0</v>
      </c>
      <c r="CQ274" s="180">
        <f t="shared" si="664"/>
        <v>0</v>
      </c>
      <c r="CR274" s="180">
        <f t="shared" si="665"/>
        <v>0</v>
      </c>
      <c r="CS274" s="273">
        <f t="shared" si="672"/>
        <v>853620</v>
      </c>
      <c r="CT274" s="14"/>
    </row>
    <row r="275" spans="1:98" s="4" customFormat="1" ht="96" x14ac:dyDescent="0.35">
      <c r="A275" s="863"/>
      <c r="B275" s="805"/>
      <c r="C275" s="189" t="s">
        <v>571</v>
      </c>
      <c r="D275" s="187" t="s">
        <v>572</v>
      </c>
      <c r="E275" s="187">
        <v>2024</v>
      </c>
      <c r="F275" s="192" t="s">
        <v>573</v>
      </c>
      <c r="G275" s="187" t="s">
        <v>62</v>
      </c>
      <c r="H275" s="533"/>
      <c r="I275" s="187"/>
      <c r="J275" s="637"/>
      <c r="K275" s="289"/>
      <c r="L275" s="637"/>
      <c r="M275" s="643"/>
      <c r="N275" s="597"/>
      <c r="O275" s="625"/>
      <c r="P275" s="444"/>
      <c r="Q275" s="187"/>
      <c r="R275" s="65">
        <v>1</v>
      </c>
      <c r="S275" s="65">
        <v>7</v>
      </c>
      <c r="T275" s="65">
        <v>92</v>
      </c>
      <c r="U275" s="187"/>
      <c r="V275" s="193"/>
      <c r="W275" s="193"/>
      <c r="X275" s="193"/>
      <c r="Y275" s="193"/>
      <c r="Z275" s="193"/>
      <c r="AA275" s="164"/>
      <c r="AB275" s="164"/>
      <c r="AC275" s="164"/>
      <c r="AD275" s="164"/>
      <c r="AE275" s="164"/>
      <c r="AF275" s="164"/>
      <c r="AG275" s="164"/>
      <c r="AH275" s="164"/>
      <c r="AI275" s="164"/>
      <c r="AJ275" s="164"/>
      <c r="AK275" s="164"/>
      <c r="AL275" s="164"/>
      <c r="AM275" s="164"/>
      <c r="AN275" s="164"/>
      <c r="AO275" s="164"/>
      <c r="AP275" s="165">
        <v>5000</v>
      </c>
      <c r="AQ275" s="164"/>
      <c r="AR275" s="164"/>
      <c r="AS275" s="164"/>
      <c r="AT275" s="164"/>
      <c r="AU275" s="165">
        <v>43000</v>
      </c>
      <c r="AV275" s="164"/>
      <c r="AW275" s="164"/>
      <c r="AX275" s="164"/>
      <c r="AY275" s="164"/>
      <c r="AZ275" s="165">
        <v>519000</v>
      </c>
      <c r="BA275" s="164"/>
      <c r="BB275" s="164"/>
      <c r="BC275" s="164"/>
      <c r="BD275" s="164"/>
      <c r="BE275" s="165"/>
      <c r="BF275" s="164"/>
      <c r="BG275" s="164"/>
      <c r="BH275" s="164"/>
      <c r="BI275" s="164"/>
      <c r="BJ275" s="165"/>
      <c r="BK275" s="164"/>
      <c r="BL275" s="164"/>
      <c r="BM275" s="164"/>
      <c r="BN275" s="164"/>
      <c r="BO275" s="165"/>
      <c r="BP275" s="164"/>
      <c r="BQ275" s="164"/>
      <c r="BR275" s="164"/>
      <c r="BS275" s="164"/>
      <c r="BT275" s="165"/>
      <c r="BU275" s="164"/>
      <c r="BV275" s="164"/>
      <c r="BW275" s="164"/>
      <c r="BX275" s="164"/>
      <c r="BY275" s="165"/>
      <c r="BZ275" s="164"/>
      <c r="CA275" s="164"/>
      <c r="CB275" s="164"/>
      <c r="CC275" s="164"/>
      <c r="CD275" s="165"/>
      <c r="CE275" s="164"/>
      <c r="CF275" s="164"/>
      <c r="CG275" s="164"/>
      <c r="CH275" s="164"/>
      <c r="CI275" s="181">
        <f t="shared" si="667"/>
        <v>0</v>
      </c>
      <c r="CJ275" s="180">
        <f t="shared" si="668"/>
        <v>0</v>
      </c>
      <c r="CK275" s="180">
        <f t="shared" si="669"/>
        <v>0</v>
      </c>
      <c r="CL275" s="180">
        <f t="shared" si="670"/>
        <v>0</v>
      </c>
      <c r="CM275" s="180">
        <f t="shared" si="671"/>
        <v>0</v>
      </c>
      <c r="CN275" s="181">
        <f t="shared" si="661"/>
        <v>567000</v>
      </c>
      <c r="CO275" s="180">
        <f t="shared" si="662"/>
        <v>0</v>
      </c>
      <c r="CP275" s="180">
        <f t="shared" si="663"/>
        <v>0</v>
      </c>
      <c r="CQ275" s="180">
        <f t="shared" si="664"/>
        <v>0</v>
      </c>
      <c r="CR275" s="180">
        <f t="shared" si="665"/>
        <v>0</v>
      </c>
      <c r="CS275" s="273">
        <f t="shared" si="672"/>
        <v>567000</v>
      </c>
      <c r="CT275" s="14"/>
    </row>
    <row r="276" spans="1:98" x14ac:dyDescent="0.3">
      <c r="A276" s="362" t="s">
        <v>574</v>
      </c>
      <c r="B276" s="789" t="s">
        <v>575</v>
      </c>
      <c r="C276" s="789"/>
      <c r="D276" s="789"/>
      <c r="E276" s="789"/>
      <c r="F276" s="789"/>
      <c r="G276" s="789"/>
      <c r="H276" s="789"/>
      <c r="I276" s="789"/>
      <c r="J276" s="789"/>
      <c r="K276" s="789"/>
      <c r="L276" s="789"/>
      <c r="M276" s="789"/>
      <c r="N276" s="789"/>
      <c r="O276" s="789"/>
      <c r="P276" s="789"/>
      <c r="Q276" s="789"/>
      <c r="R276" s="789"/>
      <c r="S276" s="789"/>
      <c r="T276" s="789"/>
      <c r="U276" s="789"/>
      <c r="V276" s="789"/>
      <c r="W276" s="789"/>
      <c r="X276" s="789"/>
      <c r="Y276" s="789"/>
      <c r="Z276" s="789"/>
      <c r="AA276" s="789"/>
      <c r="AB276" s="789"/>
      <c r="AC276" s="789"/>
      <c r="AD276" s="789"/>
      <c r="AE276" s="789"/>
      <c r="AF276" s="789"/>
      <c r="AG276" s="789"/>
      <c r="AH276" s="789"/>
      <c r="AI276" s="789"/>
      <c r="AJ276" s="789"/>
      <c r="AK276" s="789"/>
      <c r="AL276" s="789"/>
      <c r="AM276" s="789"/>
      <c r="AN276" s="789"/>
      <c r="AO276" s="789"/>
      <c r="AP276" s="789"/>
      <c r="AQ276" s="789"/>
      <c r="AR276" s="789"/>
      <c r="AS276" s="789"/>
      <c r="AT276" s="789"/>
      <c r="AU276" s="789"/>
      <c r="AV276" s="789"/>
      <c r="AW276" s="789"/>
      <c r="AX276" s="789"/>
      <c r="AY276" s="789"/>
      <c r="AZ276" s="789"/>
      <c r="BA276" s="789"/>
      <c r="BB276" s="789"/>
      <c r="BC276" s="789"/>
      <c r="BD276" s="789"/>
      <c r="BE276" s="789"/>
      <c r="BF276" s="789"/>
      <c r="BG276" s="789"/>
      <c r="BH276" s="789"/>
      <c r="BI276" s="789"/>
      <c r="BJ276" s="789"/>
      <c r="BK276" s="789"/>
      <c r="BL276" s="789"/>
      <c r="BM276" s="789"/>
      <c r="BN276" s="789"/>
      <c r="BO276" s="789"/>
      <c r="BP276" s="789"/>
      <c r="BQ276" s="789"/>
      <c r="BR276" s="789"/>
      <c r="BS276" s="789"/>
      <c r="BT276" s="789"/>
      <c r="BU276" s="789"/>
      <c r="BV276" s="789"/>
      <c r="BW276" s="789"/>
      <c r="BX276" s="789"/>
      <c r="BY276" s="789"/>
      <c r="BZ276" s="789"/>
      <c r="CA276" s="789"/>
      <c r="CB276" s="789"/>
      <c r="CC276" s="789"/>
      <c r="CD276" s="789"/>
      <c r="CE276" s="789"/>
      <c r="CF276" s="789"/>
      <c r="CG276" s="789"/>
      <c r="CH276" s="789"/>
      <c r="CI276" s="789"/>
      <c r="CJ276" s="789"/>
      <c r="CK276" s="789"/>
      <c r="CL276" s="789"/>
      <c r="CM276" s="789"/>
      <c r="CN276" s="277">
        <f>CN277+CN279+CN280+CN282+CN283+CN284+CN285+CN286+CN287+CN288+CN289+CN290+CN291+CN293+CN294</f>
        <v>545979.6</v>
      </c>
      <c r="CO276" s="277">
        <f t="shared" ref="CO276:CS276" si="673">CO277+CO279+CO280+CO282+CO283+CO284+CO285+CO286+CO287+CO288+CO289+CO290+CO291+CO293+CO294</f>
        <v>170256.19999999998</v>
      </c>
      <c r="CP276" s="277">
        <f t="shared" si="673"/>
        <v>20497.3</v>
      </c>
      <c r="CQ276" s="277">
        <f t="shared" si="673"/>
        <v>37852.9</v>
      </c>
      <c r="CR276" s="277">
        <f t="shared" si="673"/>
        <v>117373.2</v>
      </c>
      <c r="CS276" s="273">
        <f t="shared" si="673"/>
        <v>200000.00000000003</v>
      </c>
    </row>
    <row r="277" spans="1:98" s="4" customFormat="1" ht="339" customHeight="1" x14ac:dyDescent="0.3">
      <c r="A277" s="758" t="s">
        <v>576</v>
      </c>
      <c r="B277" s="843" t="s">
        <v>577</v>
      </c>
      <c r="C277" s="843" t="s">
        <v>578</v>
      </c>
      <c r="D277" s="759" t="s">
        <v>1133</v>
      </c>
      <c r="E277" s="720">
        <v>2019</v>
      </c>
      <c r="F277" s="841" t="s">
        <v>579</v>
      </c>
      <c r="G277" s="720" t="s">
        <v>117</v>
      </c>
      <c r="H277" s="720"/>
      <c r="I277" s="720" t="s">
        <v>118</v>
      </c>
      <c r="J277" s="720"/>
      <c r="K277" s="716" t="s">
        <v>118</v>
      </c>
      <c r="L277" s="720"/>
      <c r="M277" s="718" t="s">
        <v>118</v>
      </c>
      <c r="N277" s="777" t="s">
        <v>1565</v>
      </c>
      <c r="O277" s="777" t="s">
        <v>1679</v>
      </c>
      <c r="P277" s="583"/>
      <c r="Q277" s="720"/>
      <c r="R277" s="720"/>
      <c r="S277" s="720"/>
      <c r="T277" s="720"/>
      <c r="U277" s="720"/>
      <c r="V277" s="720"/>
      <c r="W277" s="720"/>
      <c r="X277" s="720"/>
      <c r="Y277" s="720"/>
      <c r="Z277" s="720"/>
      <c r="AA277" s="790">
        <f>SUM(AB277:AE278)</f>
        <v>5000</v>
      </c>
      <c r="AB277" s="825"/>
      <c r="AC277" s="825"/>
      <c r="AD277" s="825"/>
      <c r="AE277" s="825">
        <v>5000</v>
      </c>
      <c r="AF277" s="790"/>
      <c r="AG277" s="825"/>
      <c r="AH277" s="825"/>
      <c r="AI277" s="825"/>
      <c r="AJ277" s="825"/>
      <c r="AK277" s="790"/>
      <c r="AL277" s="825"/>
      <c r="AM277" s="825"/>
      <c r="AN277" s="825"/>
      <c r="AO277" s="825"/>
      <c r="AP277" s="790"/>
      <c r="AQ277" s="825"/>
      <c r="AR277" s="825"/>
      <c r="AS277" s="825"/>
      <c r="AT277" s="825"/>
      <c r="AU277" s="790"/>
      <c r="AV277" s="825"/>
      <c r="AW277" s="825"/>
      <c r="AX277" s="825"/>
      <c r="AY277" s="825"/>
      <c r="AZ277" s="790"/>
      <c r="BA277" s="825"/>
      <c r="BB277" s="825"/>
      <c r="BC277" s="825"/>
      <c r="BD277" s="825"/>
      <c r="BE277" s="790"/>
      <c r="BF277" s="825"/>
      <c r="BG277" s="825"/>
      <c r="BH277" s="825"/>
      <c r="BI277" s="825"/>
      <c r="BJ277" s="790"/>
      <c r="BK277" s="825"/>
      <c r="BL277" s="825"/>
      <c r="BM277" s="825"/>
      <c r="BN277" s="825"/>
      <c r="BO277" s="790"/>
      <c r="BP277" s="825"/>
      <c r="BQ277" s="825"/>
      <c r="BR277" s="825"/>
      <c r="BS277" s="825"/>
      <c r="BT277" s="790"/>
      <c r="BU277" s="825"/>
      <c r="BV277" s="825"/>
      <c r="BW277" s="825"/>
      <c r="BX277" s="825"/>
      <c r="BY277" s="790"/>
      <c r="BZ277" s="825"/>
      <c r="CA277" s="825"/>
      <c r="CB277" s="825"/>
      <c r="CC277" s="825"/>
      <c r="CD277" s="790"/>
      <c r="CE277" s="825"/>
      <c r="CF277" s="825"/>
      <c r="CG277" s="825"/>
      <c r="CH277" s="825"/>
      <c r="CI277" s="773">
        <f t="shared" ref="CI277:CI279" si="674">AA277+AF277+AK277</f>
        <v>5000</v>
      </c>
      <c r="CJ277" s="791">
        <f t="shared" ref="CJ277:CJ279" si="675">AB277+AG277+AL277</f>
        <v>0</v>
      </c>
      <c r="CK277" s="791">
        <f t="shared" ref="CK277:CK279" si="676">AC277+AH277+AM277</f>
        <v>0</v>
      </c>
      <c r="CL277" s="791">
        <f t="shared" ref="CL277:CL279" si="677">AD277+AI277+AN277</f>
        <v>0</v>
      </c>
      <c r="CM277" s="791">
        <f t="shared" ref="CM277:CM279" si="678">AE277+AJ277+AO277</f>
        <v>5000</v>
      </c>
      <c r="CN277" s="773">
        <f>AA277+AF277+AK277+AP277+AU277+AZ277+BE277+BJ277+BO277+BT277+BY277+CD277</f>
        <v>5000</v>
      </c>
      <c r="CO277" s="791">
        <f>AB277+AG277+AL277+AQ277+AV277+BA277+BF277+BK277+BP277+BU277+BZ277+CE277</f>
        <v>0</v>
      </c>
      <c r="CP277" s="791">
        <f>AC277+AH277+AM277+AR277+AW277+BB277+BG277+BL277+BQ277+BV277+CA277+CF277</f>
        <v>0</v>
      </c>
      <c r="CQ277" s="791">
        <f>AD277+AI277+AN277+AS277+AX277+BC277+BH277+BM277+BR277+BW277+CB277+CG277</f>
        <v>0</v>
      </c>
      <c r="CR277" s="791">
        <f>AE277+AJ277+AO277+AT277+AY277+BD277+BI277+BN277+BS277+BX277+CC277+CH277</f>
        <v>5000</v>
      </c>
      <c r="CS277" s="775">
        <f>CN277-CO277-CP277-CQ277-CR277</f>
        <v>0</v>
      </c>
      <c r="CT277" s="14"/>
    </row>
    <row r="278" spans="1:98" s="4" customFormat="1" ht="307.5" customHeight="1" x14ac:dyDescent="0.3">
      <c r="A278" s="758"/>
      <c r="B278" s="843"/>
      <c r="C278" s="843"/>
      <c r="D278" s="759"/>
      <c r="E278" s="720"/>
      <c r="F278" s="841"/>
      <c r="G278" s="720"/>
      <c r="H278" s="720"/>
      <c r="I278" s="720"/>
      <c r="J278" s="720"/>
      <c r="K278" s="717"/>
      <c r="L278" s="720"/>
      <c r="M278" s="719"/>
      <c r="N278" s="778"/>
      <c r="O278" s="778"/>
      <c r="P278" s="584"/>
      <c r="Q278" s="720"/>
      <c r="R278" s="720"/>
      <c r="S278" s="720"/>
      <c r="T278" s="720"/>
      <c r="U278" s="720"/>
      <c r="V278" s="720"/>
      <c r="W278" s="720"/>
      <c r="X278" s="720"/>
      <c r="Y278" s="720"/>
      <c r="Z278" s="720"/>
      <c r="AA278" s="790"/>
      <c r="AB278" s="825"/>
      <c r="AC278" s="825"/>
      <c r="AD278" s="825"/>
      <c r="AE278" s="825"/>
      <c r="AF278" s="790"/>
      <c r="AG278" s="825"/>
      <c r="AH278" s="825"/>
      <c r="AI278" s="825"/>
      <c r="AJ278" s="825"/>
      <c r="AK278" s="790"/>
      <c r="AL278" s="825"/>
      <c r="AM278" s="825"/>
      <c r="AN278" s="825"/>
      <c r="AO278" s="825"/>
      <c r="AP278" s="790"/>
      <c r="AQ278" s="825"/>
      <c r="AR278" s="825"/>
      <c r="AS278" s="825"/>
      <c r="AT278" s="825"/>
      <c r="AU278" s="790"/>
      <c r="AV278" s="825"/>
      <c r="AW278" s="825"/>
      <c r="AX278" s="825"/>
      <c r="AY278" s="825"/>
      <c r="AZ278" s="790"/>
      <c r="BA278" s="825"/>
      <c r="BB278" s="825"/>
      <c r="BC278" s="825"/>
      <c r="BD278" s="825"/>
      <c r="BE278" s="790"/>
      <c r="BF278" s="825"/>
      <c r="BG278" s="825"/>
      <c r="BH278" s="825"/>
      <c r="BI278" s="825"/>
      <c r="BJ278" s="790"/>
      <c r="BK278" s="825"/>
      <c r="BL278" s="825"/>
      <c r="BM278" s="825"/>
      <c r="BN278" s="825"/>
      <c r="BO278" s="790"/>
      <c r="BP278" s="825"/>
      <c r="BQ278" s="825"/>
      <c r="BR278" s="825"/>
      <c r="BS278" s="825"/>
      <c r="BT278" s="790"/>
      <c r="BU278" s="825"/>
      <c r="BV278" s="825"/>
      <c r="BW278" s="825"/>
      <c r="BX278" s="825"/>
      <c r="BY278" s="790"/>
      <c r="BZ278" s="825"/>
      <c r="CA278" s="825"/>
      <c r="CB278" s="825"/>
      <c r="CC278" s="825"/>
      <c r="CD278" s="790"/>
      <c r="CE278" s="825"/>
      <c r="CF278" s="825"/>
      <c r="CG278" s="825"/>
      <c r="CH278" s="825"/>
      <c r="CI278" s="774"/>
      <c r="CJ278" s="792"/>
      <c r="CK278" s="792"/>
      <c r="CL278" s="792"/>
      <c r="CM278" s="792"/>
      <c r="CN278" s="774"/>
      <c r="CO278" s="792"/>
      <c r="CP278" s="792"/>
      <c r="CQ278" s="792"/>
      <c r="CR278" s="792"/>
      <c r="CS278" s="776"/>
      <c r="CT278" s="14"/>
    </row>
    <row r="279" spans="1:98" s="4" customFormat="1" ht="192" x14ac:dyDescent="0.3">
      <c r="A279" s="195" t="s">
        <v>583</v>
      </c>
      <c r="B279" s="182" t="s">
        <v>580</v>
      </c>
      <c r="C279" s="182" t="s">
        <v>581</v>
      </c>
      <c r="D279" s="193" t="s">
        <v>1133</v>
      </c>
      <c r="E279" s="50">
        <v>2019</v>
      </c>
      <c r="F279" s="74" t="s">
        <v>582</v>
      </c>
      <c r="G279" s="50" t="s">
        <v>62</v>
      </c>
      <c r="H279" s="528"/>
      <c r="I279" s="43">
        <v>100</v>
      </c>
      <c r="J279" s="639"/>
      <c r="K279" s="450"/>
      <c r="L279" s="639"/>
      <c r="M279" s="645">
        <v>0</v>
      </c>
      <c r="N279" s="589" t="s">
        <v>1566</v>
      </c>
      <c r="O279" s="617" t="s">
        <v>1753</v>
      </c>
      <c r="P279" s="589"/>
      <c r="Q279" s="43"/>
      <c r="R279" s="43"/>
      <c r="S279" s="43"/>
      <c r="T279" s="43"/>
      <c r="U279" s="43"/>
      <c r="V279" s="43"/>
      <c r="W279" s="43"/>
      <c r="X279" s="43"/>
      <c r="Y279" s="43"/>
      <c r="Z279" s="43"/>
      <c r="AA279" s="82">
        <f t="shared" ref="AA279:AA290" si="679">SUM(AB279:AE279)</f>
        <v>13000</v>
      </c>
      <c r="AB279" s="55"/>
      <c r="AC279" s="55"/>
      <c r="AD279" s="55"/>
      <c r="AE279" s="55">
        <v>13000</v>
      </c>
      <c r="AF279" s="82"/>
      <c r="AG279" s="55"/>
      <c r="AH279" s="55"/>
      <c r="AI279" s="55"/>
      <c r="AJ279" s="55"/>
      <c r="AK279" s="82"/>
      <c r="AL279" s="55"/>
      <c r="AM279" s="55"/>
      <c r="AN279" s="55"/>
      <c r="AO279" s="55"/>
      <c r="AP279" s="82"/>
      <c r="AQ279" s="55"/>
      <c r="AR279" s="55"/>
      <c r="AS279" s="55"/>
      <c r="AT279" s="55"/>
      <c r="AU279" s="82"/>
      <c r="AV279" s="55"/>
      <c r="AW279" s="55"/>
      <c r="AX279" s="55"/>
      <c r="AY279" s="55"/>
      <c r="AZ279" s="82"/>
      <c r="BA279" s="55"/>
      <c r="BB279" s="55"/>
      <c r="BC279" s="55"/>
      <c r="BD279" s="55"/>
      <c r="BE279" s="82"/>
      <c r="BF279" s="55"/>
      <c r="BG279" s="55"/>
      <c r="BH279" s="55"/>
      <c r="BI279" s="55"/>
      <c r="BJ279" s="82"/>
      <c r="BK279" s="55"/>
      <c r="BL279" s="55"/>
      <c r="BM279" s="55"/>
      <c r="BN279" s="55"/>
      <c r="BO279" s="82"/>
      <c r="BP279" s="55"/>
      <c r="BQ279" s="55"/>
      <c r="BR279" s="55"/>
      <c r="BS279" s="55"/>
      <c r="BT279" s="82"/>
      <c r="BU279" s="55"/>
      <c r="BV279" s="55"/>
      <c r="BW279" s="55"/>
      <c r="BX279" s="55"/>
      <c r="BY279" s="82"/>
      <c r="BZ279" s="55"/>
      <c r="CA279" s="55"/>
      <c r="CB279" s="55"/>
      <c r="CC279" s="55"/>
      <c r="CD279" s="82"/>
      <c r="CE279" s="55"/>
      <c r="CF279" s="55"/>
      <c r="CG279" s="55"/>
      <c r="CH279" s="55"/>
      <c r="CI279" s="181">
        <f t="shared" si="674"/>
        <v>13000</v>
      </c>
      <c r="CJ279" s="180">
        <f t="shared" si="675"/>
        <v>0</v>
      </c>
      <c r="CK279" s="180">
        <f t="shared" si="676"/>
        <v>0</v>
      </c>
      <c r="CL279" s="180">
        <f t="shared" si="677"/>
        <v>0</v>
      </c>
      <c r="CM279" s="180">
        <f t="shared" si="678"/>
        <v>13000</v>
      </c>
      <c r="CN279" s="181">
        <f t="shared" ref="CN279:CR280" si="680">AA279+AF279+AK279+AP279+AU279+AZ279+BE279+BJ279+BO279+BT279+BY279+CD279</f>
        <v>13000</v>
      </c>
      <c r="CO279" s="180">
        <f t="shared" si="680"/>
        <v>0</v>
      </c>
      <c r="CP279" s="180">
        <f t="shared" si="680"/>
        <v>0</v>
      </c>
      <c r="CQ279" s="180">
        <f t="shared" si="680"/>
        <v>0</v>
      </c>
      <c r="CR279" s="180">
        <f t="shared" si="680"/>
        <v>13000</v>
      </c>
      <c r="CS279" s="273">
        <f>CN279-CO279-CP279-CQ279-CR279</f>
        <v>0</v>
      </c>
      <c r="CT279" s="14"/>
    </row>
    <row r="280" spans="1:98" s="4" customFormat="1" ht="120" customHeight="1" x14ac:dyDescent="0.3">
      <c r="A280" s="844" t="s">
        <v>585</v>
      </c>
      <c r="B280" s="839" t="s">
        <v>584</v>
      </c>
      <c r="C280" s="839" t="s">
        <v>1349</v>
      </c>
      <c r="D280" s="714" t="s">
        <v>1133</v>
      </c>
      <c r="E280" s="716" t="s">
        <v>52</v>
      </c>
      <c r="F280" s="481" t="s">
        <v>153</v>
      </c>
      <c r="G280" s="477" t="s">
        <v>74</v>
      </c>
      <c r="H280" s="528"/>
      <c r="I280" s="502">
        <v>1000</v>
      </c>
      <c r="J280" s="639">
        <v>1000</v>
      </c>
      <c r="K280" s="502" t="s">
        <v>140</v>
      </c>
      <c r="L280" s="639">
        <v>1100</v>
      </c>
      <c r="M280" s="654" t="s">
        <v>140</v>
      </c>
      <c r="N280" s="777" t="s">
        <v>1513</v>
      </c>
      <c r="O280" s="777" t="s">
        <v>1754</v>
      </c>
      <c r="P280" s="583"/>
      <c r="Q280" s="502">
        <v>1100</v>
      </c>
      <c r="R280" s="502">
        <v>1200</v>
      </c>
      <c r="S280" s="502">
        <v>1300</v>
      </c>
      <c r="T280" s="502">
        <v>1400</v>
      </c>
      <c r="U280" s="502">
        <v>1500</v>
      </c>
      <c r="V280" s="502">
        <v>1600</v>
      </c>
      <c r="W280" s="502">
        <v>1700</v>
      </c>
      <c r="X280" s="502">
        <v>1800</v>
      </c>
      <c r="Y280" s="502">
        <v>1900</v>
      </c>
      <c r="Z280" s="502">
        <v>2000</v>
      </c>
      <c r="AA280" s="826">
        <f t="shared" si="679"/>
        <v>10000</v>
      </c>
      <c r="AB280" s="763"/>
      <c r="AC280" s="763"/>
      <c r="AD280" s="763"/>
      <c r="AE280" s="763">
        <v>10000</v>
      </c>
      <c r="AF280" s="826">
        <f t="shared" ref="AF280" si="681">SUM(AG280:AJ280)</f>
        <v>0</v>
      </c>
      <c r="AG280" s="763"/>
      <c r="AH280" s="763"/>
      <c r="AI280" s="763"/>
      <c r="AJ280" s="763"/>
      <c r="AK280" s="826">
        <f t="shared" ref="AK280" si="682">SUM(AL280:AO280)</f>
        <v>0</v>
      </c>
      <c r="AL280" s="763"/>
      <c r="AM280" s="763"/>
      <c r="AN280" s="763"/>
      <c r="AO280" s="763"/>
      <c r="AP280" s="826">
        <f t="shared" ref="AP280" si="683">SUM(AQ280:AT280)</f>
        <v>0</v>
      </c>
      <c r="AQ280" s="763"/>
      <c r="AR280" s="763"/>
      <c r="AS280" s="763"/>
      <c r="AT280" s="763"/>
      <c r="AU280" s="826">
        <f t="shared" ref="AU280" si="684">SUM(AV280:AY280)</f>
        <v>0</v>
      </c>
      <c r="AV280" s="763"/>
      <c r="AW280" s="763"/>
      <c r="AX280" s="763"/>
      <c r="AY280" s="763"/>
      <c r="AZ280" s="826">
        <f t="shared" ref="AZ280" si="685">SUM(BA280:BD280)</f>
        <v>0</v>
      </c>
      <c r="BA280" s="763"/>
      <c r="BB280" s="763"/>
      <c r="BC280" s="763"/>
      <c r="BD280" s="763"/>
      <c r="BE280" s="826">
        <f t="shared" ref="BE280" si="686">SUM(BF280:BI280)</f>
        <v>0</v>
      </c>
      <c r="BF280" s="763"/>
      <c r="BG280" s="763"/>
      <c r="BH280" s="763"/>
      <c r="BI280" s="763"/>
      <c r="BJ280" s="826">
        <f t="shared" ref="BJ280" si="687">SUM(BK280:BN280)</f>
        <v>0</v>
      </c>
      <c r="BK280" s="763"/>
      <c r="BL280" s="763"/>
      <c r="BM280" s="763"/>
      <c r="BN280" s="763"/>
      <c r="BO280" s="826">
        <f t="shared" ref="BO280" si="688">SUM(BP280:BS280)</f>
        <v>0</v>
      </c>
      <c r="BP280" s="763"/>
      <c r="BQ280" s="763"/>
      <c r="BR280" s="763"/>
      <c r="BS280" s="763"/>
      <c r="BT280" s="826">
        <f t="shared" ref="BT280" si="689">SUM(BU280:BX280)</f>
        <v>0</v>
      </c>
      <c r="BU280" s="763"/>
      <c r="BV280" s="763"/>
      <c r="BW280" s="763"/>
      <c r="BX280" s="763"/>
      <c r="BY280" s="826">
        <f t="shared" ref="BY280" si="690">SUM(BZ280:CC280)</f>
        <v>0</v>
      </c>
      <c r="BZ280" s="763"/>
      <c r="CA280" s="763"/>
      <c r="CB280" s="763"/>
      <c r="CC280" s="763"/>
      <c r="CD280" s="826">
        <f t="shared" ref="CD280" si="691">SUM(CE280:CH280)</f>
        <v>0</v>
      </c>
      <c r="CE280" s="763"/>
      <c r="CF280" s="763"/>
      <c r="CG280" s="763"/>
      <c r="CH280" s="763"/>
      <c r="CI280" s="773">
        <f t="shared" ref="CI280:CI285" si="692">AA280+AF280+AK280</f>
        <v>10000</v>
      </c>
      <c r="CJ280" s="791">
        <f t="shared" ref="CJ280:CJ285" si="693">AB280+AG280+AL280</f>
        <v>0</v>
      </c>
      <c r="CK280" s="791">
        <f t="shared" ref="CK280:CK285" si="694">AC280+AH280+AM280</f>
        <v>0</v>
      </c>
      <c r="CL280" s="791">
        <f t="shared" ref="CL280:CL285" si="695">AD280+AI280+AN280</f>
        <v>0</v>
      </c>
      <c r="CM280" s="791">
        <f t="shared" ref="CM280:CM285" si="696">AE280+AJ280+AO280</f>
        <v>10000</v>
      </c>
      <c r="CN280" s="773">
        <f t="shared" si="680"/>
        <v>10000</v>
      </c>
      <c r="CO280" s="791">
        <f t="shared" si="680"/>
        <v>0</v>
      </c>
      <c r="CP280" s="791">
        <f t="shared" si="680"/>
        <v>0</v>
      </c>
      <c r="CQ280" s="791">
        <f t="shared" si="680"/>
        <v>0</v>
      </c>
      <c r="CR280" s="791">
        <f t="shared" si="680"/>
        <v>10000</v>
      </c>
      <c r="CS280" s="773">
        <f>CN280-CO280-CP280-CQ280-CR280</f>
        <v>0</v>
      </c>
      <c r="CT280" s="14"/>
    </row>
    <row r="281" spans="1:98" s="4" customFormat="1" ht="48" customHeight="1" x14ac:dyDescent="0.3">
      <c r="A281" s="845"/>
      <c r="B281" s="840"/>
      <c r="C281" s="840"/>
      <c r="D281" s="715"/>
      <c r="E281" s="717"/>
      <c r="F281" s="481" t="s">
        <v>940</v>
      </c>
      <c r="G281" s="477" t="s">
        <v>31</v>
      </c>
      <c r="H281" s="528"/>
      <c r="I281" s="502">
        <v>4</v>
      </c>
      <c r="J281" s="639">
        <v>8</v>
      </c>
      <c r="K281" s="502" t="s">
        <v>140</v>
      </c>
      <c r="L281" s="639">
        <v>12</v>
      </c>
      <c r="M281" s="654">
        <v>4</v>
      </c>
      <c r="N281" s="778"/>
      <c r="O281" s="778"/>
      <c r="P281" s="584"/>
      <c r="Q281" s="502">
        <v>12</v>
      </c>
      <c r="R281" s="502">
        <v>16</v>
      </c>
      <c r="S281" s="502">
        <v>20</v>
      </c>
      <c r="T281" s="502">
        <v>24</v>
      </c>
      <c r="U281" s="502">
        <v>28</v>
      </c>
      <c r="V281" s="502">
        <v>32</v>
      </c>
      <c r="W281" s="502">
        <v>36</v>
      </c>
      <c r="X281" s="502">
        <v>40</v>
      </c>
      <c r="Y281" s="502">
        <v>44</v>
      </c>
      <c r="Z281" s="502">
        <v>48</v>
      </c>
      <c r="AA281" s="827"/>
      <c r="AB281" s="764"/>
      <c r="AC281" s="764"/>
      <c r="AD281" s="764"/>
      <c r="AE281" s="764"/>
      <c r="AF281" s="827"/>
      <c r="AG281" s="764"/>
      <c r="AH281" s="764"/>
      <c r="AI281" s="764"/>
      <c r="AJ281" s="764"/>
      <c r="AK281" s="827"/>
      <c r="AL281" s="764"/>
      <c r="AM281" s="764"/>
      <c r="AN281" s="764"/>
      <c r="AO281" s="764"/>
      <c r="AP281" s="827"/>
      <c r="AQ281" s="764"/>
      <c r="AR281" s="764"/>
      <c r="AS281" s="764"/>
      <c r="AT281" s="764"/>
      <c r="AU281" s="827"/>
      <c r="AV281" s="764"/>
      <c r="AW281" s="764"/>
      <c r="AX281" s="764"/>
      <c r="AY281" s="764"/>
      <c r="AZ281" s="827"/>
      <c r="BA281" s="764"/>
      <c r="BB281" s="764"/>
      <c r="BC281" s="764"/>
      <c r="BD281" s="764"/>
      <c r="BE281" s="827"/>
      <c r="BF281" s="764"/>
      <c r="BG281" s="764"/>
      <c r="BH281" s="764"/>
      <c r="BI281" s="764"/>
      <c r="BJ281" s="827"/>
      <c r="BK281" s="764"/>
      <c r="BL281" s="764"/>
      <c r="BM281" s="764"/>
      <c r="BN281" s="764"/>
      <c r="BO281" s="827"/>
      <c r="BP281" s="764"/>
      <c r="BQ281" s="764"/>
      <c r="BR281" s="764"/>
      <c r="BS281" s="764"/>
      <c r="BT281" s="827"/>
      <c r="BU281" s="764"/>
      <c r="BV281" s="764"/>
      <c r="BW281" s="764"/>
      <c r="BX281" s="764"/>
      <c r="BY281" s="827"/>
      <c r="BZ281" s="764"/>
      <c r="CA281" s="764"/>
      <c r="CB281" s="764"/>
      <c r="CC281" s="764"/>
      <c r="CD281" s="827"/>
      <c r="CE281" s="764"/>
      <c r="CF281" s="764"/>
      <c r="CG281" s="764"/>
      <c r="CH281" s="764"/>
      <c r="CI281" s="774"/>
      <c r="CJ281" s="792"/>
      <c r="CK281" s="792"/>
      <c r="CL281" s="792"/>
      <c r="CM281" s="792"/>
      <c r="CN281" s="774"/>
      <c r="CO281" s="792"/>
      <c r="CP281" s="792"/>
      <c r="CQ281" s="792"/>
      <c r="CR281" s="792"/>
      <c r="CS281" s="774"/>
      <c r="CT281" s="14"/>
    </row>
    <row r="282" spans="1:98" s="4" customFormat="1" ht="96" x14ac:dyDescent="0.3">
      <c r="A282" s="195" t="s">
        <v>587</v>
      </c>
      <c r="B282" s="182" t="s">
        <v>586</v>
      </c>
      <c r="C282" s="182" t="s">
        <v>1350</v>
      </c>
      <c r="D282" s="148" t="s">
        <v>1133</v>
      </c>
      <c r="E282" s="50" t="s">
        <v>52</v>
      </c>
      <c r="F282" s="192" t="s">
        <v>153</v>
      </c>
      <c r="G282" s="50" t="s">
        <v>74</v>
      </c>
      <c r="H282" s="528"/>
      <c r="I282" s="43">
        <v>400</v>
      </c>
      <c r="J282" s="639">
        <v>400</v>
      </c>
      <c r="K282" s="43">
        <v>200</v>
      </c>
      <c r="L282" s="639">
        <v>400</v>
      </c>
      <c r="M282" s="654" t="s">
        <v>140</v>
      </c>
      <c r="N282" s="589" t="s">
        <v>1567</v>
      </c>
      <c r="O282" s="617" t="s">
        <v>1680</v>
      </c>
      <c r="P282" s="589"/>
      <c r="Q282" s="43">
        <v>400</v>
      </c>
      <c r="R282" s="43">
        <v>400</v>
      </c>
      <c r="S282" s="43">
        <v>400</v>
      </c>
      <c r="T282" s="43">
        <v>400</v>
      </c>
      <c r="U282" s="43">
        <v>400</v>
      </c>
      <c r="V282" s="43">
        <v>400</v>
      </c>
      <c r="W282" s="43">
        <v>400</v>
      </c>
      <c r="X282" s="43">
        <v>400</v>
      </c>
      <c r="Y282" s="43">
        <v>400</v>
      </c>
      <c r="Z282" s="43">
        <v>400</v>
      </c>
      <c r="AA282" s="82">
        <f t="shared" si="679"/>
        <v>100</v>
      </c>
      <c r="AB282" s="55"/>
      <c r="AC282" s="55"/>
      <c r="AD282" s="55"/>
      <c r="AE282" s="55">
        <v>100</v>
      </c>
      <c r="AF282" s="82">
        <v>0</v>
      </c>
      <c r="AG282" s="55"/>
      <c r="AH282" s="55"/>
      <c r="AI282" s="55"/>
      <c r="AJ282" s="55"/>
      <c r="AK282" s="82">
        <v>0</v>
      </c>
      <c r="AL282" s="55"/>
      <c r="AM282" s="55"/>
      <c r="AN282" s="55"/>
      <c r="AO282" s="55"/>
      <c r="AP282" s="82">
        <v>0</v>
      </c>
      <c r="AQ282" s="55"/>
      <c r="AR282" s="55"/>
      <c r="AS282" s="55"/>
      <c r="AT282" s="55"/>
      <c r="AU282" s="82">
        <v>0</v>
      </c>
      <c r="AV282" s="55"/>
      <c r="AW282" s="55"/>
      <c r="AX282" s="55"/>
      <c r="AY282" s="55"/>
      <c r="AZ282" s="82">
        <v>0</v>
      </c>
      <c r="BA282" s="55"/>
      <c r="BB282" s="55"/>
      <c r="BC282" s="55"/>
      <c r="BD282" s="55"/>
      <c r="BE282" s="82">
        <v>0</v>
      </c>
      <c r="BF282" s="55"/>
      <c r="BG282" s="55"/>
      <c r="BH282" s="55"/>
      <c r="BI282" s="55"/>
      <c r="BJ282" s="82">
        <v>0</v>
      </c>
      <c r="BK282" s="55"/>
      <c r="BL282" s="55"/>
      <c r="BM282" s="55"/>
      <c r="BN282" s="55"/>
      <c r="BO282" s="82">
        <v>0</v>
      </c>
      <c r="BP282" s="55"/>
      <c r="BQ282" s="55"/>
      <c r="BR282" s="55"/>
      <c r="BS282" s="55"/>
      <c r="BT282" s="82">
        <v>0</v>
      </c>
      <c r="BU282" s="55"/>
      <c r="BV282" s="55"/>
      <c r="BW282" s="55"/>
      <c r="BX282" s="55"/>
      <c r="BY282" s="82">
        <v>0</v>
      </c>
      <c r="BZ282" s="55"/>
      <c r="CA282" s="55"/>
      <c r="CB282" s="55"/>
      <c r="CC282" s="55"/>
      <c r="CD282" s="82">
        <v>0</v>
      </c>
      <c r="CE282" s="55"/>
      <c r="CF282" s="55"/>
      <c r="CG282" s="55"/>
      <c r="CH282" s="55"/>
      <c r="CI282" s="181">
        <f t="shared" si="692"/>
        <v>100</v>
      </c>
      <c r="CJ282" s="180">
        <f t="shared" si="693"/>
        <v>0</v>
      </c>
      <c r="CK282" s="180">
        <f t="shared" si="694"/>
        <v>0</v>
      </c>
      <c r="CL282" s="180">
        <f t="shared" si="695"/>
        <v>0</v>
      </c>
      <c r="CM282" s="180">
        <f t="shared" si="696"/>
        <v>100</v>
      </c>
      <c r="CN282" s="181">
        <f t="shared" ref="CN282:CN291" si="697">AA282+AF282+AK282+AP282+AU282+AZ282+BE282+BJ282+BO282+BT282+BY282+CD282</f>
        <v>100</v>
      </c>
      <c r="CO282" s="180">
        <f t="shared" ref="CO282:CO291" si="698">AB282+AG282+AL282+AQ282+AV282+BA282+BF282+BK282+BP282+BU282+BZ282+CE282</f>
        <v>0</v>
      </c>
      <c r="CP282" s="180">
        <f t="shared" ref="CP282:CP291" si="699">AC282+AH282+AM282+AR282+AW282+BB282+BG282+BL282+BQ282+BV282+CA282+CF282</f>
        <v>0</v>
      </c>
      <c r="CQ282" s="180">
        <f t="shared" ref="CQ282:CQ291" si="700">AD282+AI282+AN282+AS282+AX282+BC282+BH282+BM282+BR282+BW282+CB282+CG282</f>
        <v>0</v>
      </c>
      <c r="CR282" s="180">
        <f t="shared" ref="CR282:CR291" si="701">AE282+AJ282+AO282+AT282+AY282+BD282+BI282+BN282+BS282+BX282+CC282+CH282</f>
        <v>100</v>
      </c>
      <c r="CS282" s="273">
        <f>CN282-CO282-CP282-CQ282-CR282</f>
        <v>0</v>
      </c>
      <c r="CT282" s="14"/>
    </row>
    <row r="283" spans="1:98" s="4" customFormat="1" ht="120" x14ac:dyDescent="0.3">
      <c r="A283" s="382" t="s">
        <v>591</v>
      </c>
      <c r="B283" s="383" t="s">
        <v>588</v>
      </c>
      <c r="C283" s="383" t="s">
        <v>589</v>
      </c>
      <c r="D283" s="380" t="s">
        <v>1133</v>
      </c>
      <c r="E283" s="384">
        <v>2019</v>
      </c>
      <c r="F283" s="74" t="s">
        <v>590</v>
      </c>
      <c r="G283" s="384" t="s">
        <v>117</v>
      </c>
      <c r="H283" s="528"/>
      <c r="I283" s="389" t="s">
        <v>118</v>
      </c>
      <c r="J283" s="639"/>
      <c r="K283" s="520" t="s">
        <v>118</v>
      </c>
      <c r="L283" s="639"/>
      <c r="M283" s="654" t="s">
        <v>1472</v>
      </c>
      <c r="N283" s="589" t="s">
        <v>1568</v>
      </c>
      <c r="O283" s="617" t="s">
        <v>1680</v>
      </c>
      <c r="P283" s="589"/>
      <c r="Q283" s="43"/>
      <c r="R283" s="43"/>
      <c r="S283" s="43"/>
      <c r="T283" s="43"/>
      <c r="U283" s="43"/>
      <c r="V283" s="43"/>
      <c r="W283" s="43"/>
      <c r="X283" s="43"/>
      <c r="Y283" s="43"/>
      <c r="Z283" s="43"/>
      <c r="AA283" s="82">
        <f t="shared" si="679"/>
        <v>15000</v>
      </c>
      <c r="AB283" s="55"/>
      <c r="AC283" s="55"/>
      <c r="AD283" s="55"/>
      <c r="AE283" s="55">
        <v>15000</v>
      </c>
      <c r="AF283" s="82"/>
      <c r="AG283" s="55"/>
      <c r="AH283" s="55"/>
      <c r="AI283" s="55"/>
      <c r="AJ283" s="55"/>
      <c r="AK283" s="82"/>
      <c r="AL283" s="55"/>
      <c r="AM283" s="55"/>
      <c r="AN283" s="55"/>
      <c r="AO283" s="55"/>
      <c r="AP283" s="82"/>
      <c r="AQ283" s="55"/>
      <c r="AR283" s="55"/>
      <c r="AS283" s="55"/>
      <c r="AT283" s="55"/>
      <c r="AU283" s="82"/>
      <c r="AV283" s="55"/>
      <c r="AW283" s="55"/>
      <c r="AX283" s="55"/>
      <c r="AY283" s="55"/>
      <c r="AZ283" s="82"/>
      <c r="BA283" s="55"/>
      <c r="BB283" s="55"/>
      <c r="BC283" s="55"/>
      <c r="BD283" s="55"/>
      <c r="BE283" s="82"/>
      <c r="BF283" s="55"/>
      <c r="BG283" s="55"/>
      <c r="BH283" s="55"/>
      <c r="BI283" s="55"/>
      <c r="BJ283" s="82"/>
      <c r="BK283" s="55"/>
      <c r="BL283" s="55"/>
      <c r="BM283" s="55"/>
      <c r="BN283" s="55"/>
      <c r="BO283" s="82"/>
      <c r="BP283" s="55"/>
      <c r="BQ283" s="55"/>
      <c r="BR283" s="55"/>
      <c r="BS283" s="55"/>
      <c r="BT283" s="82"/>
      <c r="BU283" s="55"/>
      <c r="BV283" s="55"/>
      <c r="BW283" s="55"/>
      <c r="BX283" s="55"/>
      <c r="BY283" s="82"/>
      <c r="BZ283" s="55"/>
      <c r="CA283" s="55"/>
      <c r="CB283" s="55"/>
      <c r="CC283" s="55"/>
      <c r="CD283" s="82"/>
      <c r="CE283" s="55"/>
      <c r="CF283" s="55"/>
      <c r="CG283" s="55"/>
      <c r="CH283" s="55"/>
      <c r="CI283" s="181">
        <f t="shared" si="692"/>
        <v>15000</v>
      </c>
      <c r="CJ283" s="180">
        <f t="shared" si="693"/>
        <v>0</v>
      </c>
      <c r="CK283" s="180">
        <f t="shared" si="694"/>
        <v>0</v>
      </c>
      <c r="CL283" s="180">
        <f t="shared" si="695"/>
        <v>0</v>
      </c>
      <c r="CM283" s="180">
        <f t="shared" si="696"/>
        <v>15000</v>
      </c>
      <c r="CN283" s="181">
        <f t="shared" si="697"/>
        <v>15000</v>
      </c>
      <c r="CO283" s="180">
        <f t="shared" si="698"/>
        <v>0</v>
      </c>
      <c r="CP283" s="180">
        <f t="shared" si="699"/>
        <v>0</v>
      </c>
      <c r="CQ283" s="180">
        <f t="shared" si="700"/>
        <v>0</v>
      </c>
      <c r="CR283" s="180">
        <f t="shared" si="701"/>
        <v>15000</v>
      </c>
      <c r="CS283" s="273">
        <f>CN283-CO283-CP283-CQ283-CR283</f>
        <v>0</v>
      </c>
      <c r="CT283" s="14"/>
    </row>
    <row r="284" spans="1:98" s="4" customFormat="1" ht="245.25" customHeight="1" x14ac:dyDescent="0.3">
      <c r="A284" s="758" t="s">
        <v>597</v>
      </c>
      <c r="B284" s="843" t="s">
        <v>592</v>
      </c>
      <c r="C284" s="839" t="s">
        <v>593</v>
      </c>
      <c r="D284" s="148" t="s">
        <v>1133</v>
      </c>
      <c r="E284" s="889" t="s">
        <v>594</v>
      </c>
      <c r="F284" s="192" t="s">
        <v>153</v>
      </c>
      <c r="G284" s="50" t="s">
        <v>74</v>
      </c>
      <c r="H284" s="528"/>
      <c r="I284" s="43"/>
      <c r="J284" s="639"/>
      <c r="K284" s="524"/>
      <c r="L284" s="639"/>
      <c r="M284" s="654">
        <v>0</v>
      </c>
      <c r="N284" s="761" t="s">
        <v>1569</v>
      </c>
      <c r="O284" s="777" t="s">
        <v>1681</v>
      </c>
      <c r="P284" s="550"/>
      <c r="Q284" s="43"/>
      <c r="R284" s="43"/>
      <c r="S284" s="43"/>
      <c r="T284" s="43"/>
      <c r="U284" s="43"/>
      <c r="V284" s="43"/>
      <c r="W284" s="43"/>
      <c r="X284" s="43"/>
      <c r="Y284" s="43"/>
      <c r="Z284" s="43"/>
      <c r="AA284" s="82">
        <f>SUM(AB284:AE284)</f>
        <v>0</v>
      </c>
      <c r="AB284" s="55"/>
      <c r="AC284" s="55"/>
      <c r="AD284" s="55"/>
      <c r="AE284" s="55"/>
      <c r="AF284" s="82">
        <f t="shared" ref="AF284:AF289" si="702">SUM(AG284:AJ284)</f>
        <v>0</v>
      </c>
      <c r="AG284" s="55"/>
      <c r="AH284" s="55"/>
      <c r="AI284" s="55"/>
      <c r="AJ284" s="55"/>
      <c r="AK284" s="82">
        <f t="shared" ref="AK284:AK290" si="703">SUM(AL284:AO284)</f>
        <v>0</v>
      </c>
      <c r="AL284" s="55"/>
      <c r="AM284" s="55"/>
      <c r="AN284" s="55"/>
      <c r="AO284" s="55"/>
      <c r="AP284" s="82">
        <f>SUM(AQ284:AT284)</f>
        <v>0</v>
      </c>
      <c r="AQ284" s="55"/>
      <c r="AR284" s="55"/>
      <c r="AS284" s="55"/>
      <c r="AT284" s="55"/>
      <c r="AU284" s="82">
        <f>SUM(AV284:AY284)</f>
        <v>0</v>
      </c>
      <c r="AV284" s="55"/>
      <c r="AW284" s="55"/>
      <c r="AX284" s="55"/>
      <c r="AY284" s="55"/>
      <c r="AZ284" s="82"/>
      <c r="BA284" s="55"/>
      <c r="BB284" s="55"/>
      <c r="BC284" s="55"/>
      <c r="BD284" s="55"/>
      <c r="BE284" s="82"/>
      <c r="BF284" s="55"/>
      <c r="BG284" s="55"/>
      <c r="BH284" s="55"/>
      <c r="BI284" s="55"/>
      <c r="BJ284" s="82"/>
      <c r="BK284" s="55"/>
      <c r="BL284" s="55"/>
      <c r="BM284" s="55"/>
      <c r="BN284" s="55"/>
      <c r="BO284" s="82"/>
      <c r="BP284" s="55"/>
      <c r="BQ284" s="55"/>
      <c r="BR284" s="55"/>
      <c r="BS284" s="55"/>
      <c r="BT284" s="82"/>
      <c r="BU284" s="55"/>
      <c r="BV284" s="55"/>
      <c r="BW284" s="55"/>
      <c r="BX284" s="55"/>
      <c r="BY284" s="82"/>
      <c r="BZ284" s="55"/>
      <c r="CA284" s="55"/>
      <c r="CB284" s="55"/>
      <c r="CC284" s="55"/>
      <c r="CD284" s="82"/>
      <c r="CE284" s="55"/>
      <c r="CF284" s="55"/>
      <c r="CG284" s="55"/>
      <c r="CH284" s="55"/>
      <c r="CI284" s="181">
        <f t="shared" si="692"/>
        <v>0</v>
      </c>
      <c r="CJ284" s="180">
        <f t="shared" si="693"/>
        <v>0</v>
      </c>
      <c r="CK284" s="180">
        <f t="shared" si="694"/>
        <v>0</v>
      </c>
      <c r="CL284" s="180">
        <f t="shared" si="695"/>
        <v>0</v>
      </c>
      <c r="CM284" s="180">
        <f t="shared" si="696"/>
        <v>0</v>
      </c>
      <c r="CN284" s="181">
        <f t="shared" si="697"/>
        <v>0</v>
      </c>
      <c r="CO284" s="180">
        <f t="shared" si="698"/>
        <v>0</v>
      </c>
      <c r="CP284" s="180">
        <f t="shared" si="699"/>
        <v>0</v>
      </c>
      <c r="CQ284" s="180">
        <f t="shared" si="700"/>
        <v>0</v>
      </c>
      <c r="CR284" s="180">
        <f t="shared" si="701"/>
        <v>0</v>
      </c>
      <c r="CS284" s="273">
        <f>CN284-CO284-CP284-CQ284-CR284</f>
        <v>0</v>
      </c>
      <c r="CT284" s="14"/>
    </row>
    <row r="285" spans="1:98" s="4" customFormat="1" ht="179.25" customHeight="1" x14ac:dyDescent="0.3">
      <c r="A285" s="758"/>
      <c r="B285" s="843"/>
      <c r="C285" s="856"/>
      <c r="D285" s="42" t="s">
        <v>28</v>
      </c>
      <c r="E285" s="890"/>
      <c r="F285" s="74" t="s">
        <v>595</v>
      </c>
      <c r="G285" s="50" t="s">
        <v>117</v>
      </c>
      <c r="H285" s="528"/>
      <c r="I285" s="43" t="s">
        <v>118</v>
      </c>
      <c r="J285" s="639"/>
      <c r="K285" s="524"/>
      <c r="L285" s="639"/>
      <c r="M285" s="654" t="s">
        <v>1472</v>
      </c>
      <c r="N285" s="788"/>
      <c r="O285" s="784"/>
      <c r="P285" s="552"/>
      <c r="Q285" s="43"/>
      <c r="R285" s="43"/>
      <c r="S285" s="43"/>
      <c r="T285" s="50"/>
      <c r="U285" s="50"/>
      <c r="V285" s="50"/>
      <c r="W285" s="50"/>
      <c r="X285" s="50"/>
      <c r="Y285" s="50"/>
      <c r="Z285" s="50"/>
      <c r="AA285" s="82">
        <f>SUM(AB285:AE285)</f>
        <v>400</v>
      </c>
      <c r="AB285" s="55"/>
      <c r="AC285" s="55"/>
      <c r="AD285" s="55"/>
      <c r="AE285" s="55">
        <v>400</v>
      </c>
      <c r="AF285" s="82">
        <f t="shared" si="702"/>
        <v>0</v>
      </c>
      <c r="AG285" s="55"/>
      <c r="AH285" s="55"/>
      <c r="AI285" s="55"/>
      <c r="AJ285" s="55"/>
      <c r="AK285" s="82">
        <f t="shared" si="703"/>
        <v>0</v>
      </c>
      <c r="AL285" s="55"/>
      <c r="AM285" s="55"/>
      <c r="AN285" s="55"/>
      <c r="AO285" s="55"/>
      <c r="AP285" s="82">
        <f>SUM(AQ285:AT285)</f>
        <v>0</v>
      </c>
      <c r="AQ285" s="55"/>
      <c r="AR285" s="55"/>
      <c r="AS285" s="55"/>
      <c r="AT285" s="55"/>
      <c r="AU285" s="82">
        <f>SUM(AV285:AY285)</f>
        <v>0</v>
      </c>
      <c r="AV285" s="55"/>
      <c r="AW285" s="55"/>
      <c r="AX285" s="55"/>
      <c r="AY285" s="55"/>
      <c r="AZ285" s="82"/>
      <c r="BA285" s="55"/>
      <c r="BB285" s="55"/>
      <c r="BC285" s="55"/>
      <c r="BD285" s="55"/>
      <c r="BE285" s="82"/>
      <c r="BF285" s="55"/>
      <c r="BG285" s="55"/>
      <c r="BH285" s="55"/>
      <c r="BI285" s="55"/>
      <c r="BJ285" s="82"/>
      <c r="BK285" s="55"/>
      <c r="BL285" s="55"/>
      <c r="BM285" s="55"/>
      <c r="BN285" s="55"/>
      <c r="BO285" s="82"/>
      <c r="BP285" s="55"/>
      <c r="BQ285" s="55"/>
      <c r="BR285" s="55"/>
      <c r="BS285" s="55"/>
      <c r="BT285" s="82"/>
      <c r="BU285" s="55"/>
      <c r="BV285" s="55"/>
      <c r="BW285" s="55"/>
      <c r="BX285" s="55"/>
      <c r="BY285" s="82"/>
      <c r="BZ285" s="55"/>
      <c r="CA285" s="55"/>
      <c r="CB285" s="55"/>
      <c r="CC285" s="55"/>
      <c r="CD285" s="82"/>
      <c r="CE285" s="55"/>
      <c r="CF285" s="55"/>
      <c r="CG285" s="55"/>
      <c r="CH285" s="55"/>
      <c r="CI285" s="181">
        <f t="shared" si="692"/>
        <v>400</v>
      </c>
      <c r="CJ285" s="180">
        <f t="shared" si="693"/>
        <v>0</v>
      </c>
      <c r="CK285" s="180">
        <f t="shared" si="694"/>
        <v>0</v>
      </c>
      <c r="CL285" s="180">
        <f t="shared" si="695"/>
        <v>0</v>
      </c>
      <c r="CM285" s="180">
        <f t="shared" si="696"/>
        <v>400</v>
      </c>
      <c r="CN285" s="181">
        <f t="shared" si="697"/>
        <v>400</v>
      </c>
      <c r="CO285" s="180">
        <f t="shared" si="698"/>
        <v>0</v>
      </c>
      <c r="CP285" s="180">
        <f t="shared" si="699"/>
        <v>0</v>
      </c>
      <c r="CQ285" s="180">
        <f t="shared" si="700"/>
        <v>0</v>
      </c>
      <c r="CR285" s="180">
        <f t="shared" si="701"/>
        <v>400</v>
      </c>
      <c r="CS285" s="273">
        <f>CN285-CO285-CP285-CQ285-CR285</f>
        <v>0</v>
      </c>
      <c r="CT285" s="14"/>
    </row>
    <row r="286" spans="1:98" s="4" customFormat="1" ht="312" customHeight="1" x14ac:dyDescent="0.3">
      <c r="A286" s="758"/>
      <c r="B286" s="843"/>
      <c r="C286" s="840"/>
      <c r="D286" s="42" t="s">
        <v>28</v>
      </c>
      <c r="E286" s="891"/>
      <c r="F286" s="61" t="s">
        <v>596</v>
      </c>
      <c r="G286" s="50" t="s">
        <v>117</v>
      </c>
      <c r="H286" s="528"/>
      <c r="I286" s="43"/>
      <c r="J286" s="639"/>
      <c r="K286" s="524"/>
      <c r="L286" s="639"/>
      <c r="M286" s="654" t="s">
        <v>1472</v>
      </c>
      <c r="N286" s="762"/>
      <c r="O286" s="778"/>
      <c r="P286" s="551"/>
      <c r="Q286" s="43"/>
      <c r="R286" s="43"/>
      <c r="S286" s="43" t="s">
        <v>118</v>
      </c>
      <c r="T286" s="50"/>
      <c r="U286" s="50"/>
      <c r="V286" s="50"/>
      <c r="W286" s="50"/>
      <c r="X286" s="50"/>
      <c r="Y286" s="50"/>
      <c r="Z286" s="50"/>
      <c r="AA286" s="82">
        <f>SUM(AB286:AE286)</f>
        <v>0</v>
      </c>
      <c r="AB286" s="55"/>
      <c r="AC286" s="55"/>
      <c r="AD286" s="55"/>
      <c r="AE286" s="55"/>
      <c r="AF286" s="82">
        <f t="shared" si="702"/>
        <v>0</v>
      </c>
      <c r="AG286" s="55"/>
      <c r="AH286" s="55"/>
      <c r="AI286" s="55"/>
      <c r="AJ286" s="55"/>
      <c r="AK286" s="82">
        <f t="shared" si="703"/>
        <v>0</v>
      </c>
      <c r="AL286" s="55"/>
      <c r="AM286" s="55"/>
      <c r="AN286" s="55"/>
      <c r="AO286" s="55"/>
      <c r="AP286" s="82">
        <f>SUM(AQ286:AT286)</f>
        <v>0</v>
      </c>
      <c r="AQ286" s="55"/>
      <c r="AR286" s="55"/>
      <c r="AS286" s="55"/>
      <c r="AT286" s="55"/>
      <c r="AU286" s="82">
        <f>SUM(AV286:AY286)</f>
        <v>0</v>
      </c>
      <c r="AV286" s="55"/>
      <c r="AW286" s="55"/>
      <c r="AX286" s="55"/>
      <c r="AY286" s="55"/>
      <c r="AZ286" s="82"/>
      <c r="BA286" s="55"/>
      <c r="BB286" s="55"/>
      <c r="BC286" s="55"/>
      <c r="BD286" s="55"/>
      <c r="BE286" s="82"/>
      <c r="BF286" s="55"/>
      <c r="BG286" s="55"/>
      <c r="BH286" s="55"/>
      <c r="BI286" s="55"/>
      <c r="BJ286" s="82"/>
      <c r="BK286" s="55"/>
      <c r="BL286" s="55"/>
      <c r="BM286" s="55"/>
      <c r="BN286" s="55"/>
      <c r="BO286" s="82"/>
      <c r="BP286" s="55"/>
      <c r="BQ286" s="55"/>
      <c r="BR286" s="55"/>
      <c r="BS286" s="55"/>
      <c r="BT286" s="82"/>
      <c r="BU286" s="55"/>
      <c r="BV286" s="55"/>
      <c r="BW286" s="55"/>
      <c r="BX286" s="55"/>
      <c r="BY286" s="82"/>
      <c r="BZ286" s="55"/>
      <c r="CA286" s="55"/>
      <c r="CB286" s="55"/>
      <c r="CC286" s="55"/>
      <c r="CD286" s="82"/>
      <c r="CE286" s="55"/>
      <c r="CF286" s="55"/>
      <c r="CG286" s="55"/>
      <c r="CH286" s="55"/>
      <c r="CI286" s="181">
        <f t="shared" ref="CI286:CI289" si="704">AA286+AF286+AK286</f>
        <v>0</v>
      </c>
      <c r="CJ286" s="180">
        <f t="shared" ref="CJ286:CJ289" si="705">AB286+AG286+AL286</f>
        <v>0</v>
      </c>
      <c r="CK286" s="180">
        <f t="shared" ref="CK286:CK289" si="706">AC286+AH286+AM286</f>
        <v>0</v>
      </c>
      <c r="CL286" s="180">
        <f t="shared" ref="CL286:CL289" si="707">AD286+AI286+AN286</f>
        <v>0</v>
      </c>
      <c r="CM286" s="180">
        <f t="shared" ref="CM286:CM289" si="708">AE286+AJ286+AO286</f>
        <v>0</v>
      </c>
      <c r="CN286" s="181">
        <f t="shared" si="697"/>
        <v>0</v>
      </c>
      <c r="CO286" s="180">
        <f t="shared" si="698"/>
        <v>0</v>
      </c>
      <c r="CP286" s="180">
        <f t="shared" si="699"/>
        <v>0</v>
      </c>
      <c r="CQ286" s="180">
        <f t="shared" si="700"/>
        <v>0</v>
      </c>
      <c r="CR286" s="180">
        <f t="shared" si="701"/>
        <v>0</v>
      </c>
      <c r="CS286" s="273">
        <f t="shared" ref="CS286:CS289" si="709">CN286-CO286-CP286-CQ286-CR286</f>
        <v>0</v>
      </c>
      <c r="CT286" s="14"/>
    </row>
    <row r="287" spans="1:98" s="4" customFormat="1" ht="123" x14ac:dyDescent="0.3">
      <c r="A287" s="476" t="s">
        <v>598</v>
      </c>
      <c r="B287" s="498" t="s">
        <v>1195</v>
      </c>
      <c r="C287" s="498" t="s">
        <v>1201</v>
      </c>
      <c r="D287" s="476" t="s">
        <v>1129</v>
      </c>
      <c r="E287" s="477" t="s">
        <v>36</v>
      </c>
      <c r="F287" s="500" t="s">
        <v>1115</v>
      </c>
      <c r="G287" s="477" t="s">
        <v>117</v>
      </c>
      <c r="H287" s="528"/>
      <c r="I287" s="477"/>
      <c r="J287" s="630"/>
      <c r="K287" s="477" t="s">
        <v>118</v>
      </c>
      <c r="L287" s="630"/>
      <c r="M287" s="702"/>
      <c r="N287" s="598" t="s">
        <v>1570</v>
      </c>
      <c r="O287" s="617" t="s">
        <v>1647</v>
      </c>
      <c r="P287" s="557"/>
      <c r="Q287" s="477"/>
      <c r="R287" s="477"/>
      <c r="S287" s="477"/>
      <c r="T287" s="477"/>
      <c r="U287" s="477" t="s">
        <v>118</v>
      </c>
      <c r="V287" s="477"/>
      <c r="W287" s="477"/>
      <c r="X287" s="477"/>
      <c r="Y287" s="477"/>
      <c r="Z287" s="477"/>
      <c r="AA287" s="82">
        <f t="shared" si="679"/>
        <v>93062.399999999994</v>
      </c>
      <c r="AB287" s="55">
        <v>43062.400000000001</v>
      </c>
      <c r="AC287" s="55"/>
      <c r="AD287" s="55"/>
      <c r="AE287" s="55">
        <v>50000</v>
      </c>
      <c r="AF287" s="82">
        <f t="shared" si="702"/>
        <v>50000</v>
      </c>
      <c r="AG287" s="55">
        <v>50000</v>
      </c>
      <c r="AH287" s="55"/>
      <c r="AI287" s="55"/>
      <c r="AJ287" s="55"/>
      <c r="AK287" s="82">
        <f t="shared" si="703"/>
        <v>50000</v>
      </c>
      <c r="AL287" s="55">
        <v>50000</v>
      </c>
      <c r="AM287" s="55"/>
      <c r="AN287" s="55"/>
      <c r="AO287" s="55"/>
      <c r="AP287" s="82">
        <v>50000</v>
      </c>
      <c r="AQ287" s="55"/>
      <c r="AR287" s="55"/>
      <c r="AS287" s="55"/>
      <c r="AT287" s="55"/>
      <c r="AU287" s="82">
        <v>50000</v>
      </c>
      <c r="AV287" s="55"/>
      <c r="AW287" s="55"/>
      <c r="AX287" s="55"/>
      <c r="AY287" s="55"/>
      <c r="AZ287" s="82">
        <v>50000</v>
      </c>
      <c r="BA287" s="55"/>
      <c r="BB287" s="55"/>
      <c r="BC287" s="55"/>
      <c r="BD287" s="55"/>
      <c r="BE287" s="82">
        <v>50000</v>
      </c>
      <c r="BF287" s="55"/>
      <c r="BG287" s="55"/>
      <c r="BH287" s="55"/>
      <c r="BI287" s="55"/>
      <c r="BJ287" s="82"/>
      <c r="BK287" s="55"/>
      <c r="BL287" s="55"/>
      <c r="BM287" s="55"/>
      <c r="BN287" s="55"/>
      <c r="BO287" s="82"/>
      <c r="BP287" s="55"/>
      <c r="BQ287" s="55"/>
      <c r="BR287" s="55"/>
      <c r="BS287" s="55"/>
      <c r="BT287" s="82"/>
      <c r="BU287" s="55"/>
      <c r="BV287" s="55"/>
      <c r="BW287" s="55"/>
      <c r="BX287" s="55"/>
      <c r="BY287" s="82"/>
      <c r="BZ287" s="55"/>
      <c r="CA287" s="55"/>
      <c r="CB287" s="55"/>
      <c r="CC287" s="55"/>
      <c r="CD287" s="82"/>
      <c r="CE287" s="55"/>
      <c r="CF287" s="55"/>
      <c r="CG287" s="55"/>
      <c r="CH287" s="55"/>
      <c r="CI287" s="501">
        <f t="shared" si="704"/>
        <v>193062.39999999999</v>
      </c>
      <c r="CJ287" s="492">
        <f t="shared" si="705"/>
        <v>143062.39999999999</v>
      </c>
      <c r="CK287" s="492">
        <f t="shared" si="706"/>
        <v>0</v>
      </c>
      <c r="CL287" s="492">
        <f t="shared" si="707"/>
        <v>0</v>
      </c>
      <c r="CM287" s="492">
        <f t="shared" si="708"/>
        <v>50000</v>
      </c>
      <c r="CN287" s="501">
        <f t="shared" si="697"/>
        <v>393062.40000000002</v>
      </c>
      <c r="CO287" s="492">
        <f t="shared" si="698"/>
        <v>143062.39999999999</v>
      </c>
      <c r="CP287" s="492">
        <f t="shared" si="699"/>
        <v>0</v>
      </c>
      <c r="CQ287" s="492">
        <f t="shared" si="700"/>
        <v>0</v>
      </c>
      <c r="CR287" s="492">
        <f t="shared" si="701"/>
        <v>50000</v>
      </c>
      <c r="CS287" s="501">
        <f t="shared" si="709"/>
        <v>200000.00000000003</v>
      </c>
      <c r="CT287" s="14"/>
    </row>
    <row r="288" spans="1:98" s="4" customFormat="1" ht="72" x14ac:dyDescent="0.3">
      <c r="A288" s="193" t="s">
        <v>600</v>
      </c>
      <c r="B288" s="182" t="s">
        <v>599</v>
      </c>
      <c r="C288" s="188" t="s">
        <v>1139</v>
      </c>
      <c r="D288" s="521" t="s">
        <v>1133</v>
      </c>
      <c r="E288" s="43" t="s">
        <v>152</v>
      </c>
      <c r="F288" s="515" t="s">
        <v>1217</v>
      </c>
      <c r="G288" s="50" t="s">
        <v>74</v>
      </c>
      <c r="H288" s="528"/>
      <c r="I288" s="50"/>
      <c r="J288" s="126"/>
      <c r="K288" s="126"/>
      <c r="L288" s="126"/>
      <c r="M288" s="665"/>
      <c r="N288" s="97" t="s">
        <v>1571</v>
      </c>
      <c r="O288" s="97" t="s">
        <v>1571</v>
      </c>
      <c r="P288" s="97"/>
      <c r="Q288" s="100"/>
      <c r="R288" s="100">
        <v>6000</v>
      </c>
      <c r="S288" s="100">
        <v>10000</v>
      </c>
      <c r="T288" s="100">
        <v>10000</v>
      </c>
      <c r="U288" s="100">
        <v>10000</v>
      </c>
      <c r="V288" s="100">
        <v>10000</v>
      </c>
      <c r="W288" s="100">
        <v>10000</v>
      </c>
      <c r="X288" s="100">
        <v>10000</v>
      </c>
      <c r="Y288" s="100">
        <v>10000</v>
      </c>
      <c r="Z288" s="100">
        <v>10000</v>
      </c>
      <c r="AA288" s="82">
        <f t="shared" si="679"/>
        <v>10000</v>
      </c>
      <c r="AB288" s="55"/>
      <c r="AC288" s="55"/>
      <c r="AD288" s="55"/>
      <c r="AE288" s="55">
        <v>10000</v>
      </c>
      <c r="AF288" s="82">
        <f t="shared" si="702"/>
        <v>7000</v>
      </c>
      <c r="AG288" s="55"/>
      <c r="AH288" s="55"/>
      <c r="AI288" s="55"/>
      <c r="AJ288" s="55">
        <v>7000</v>
      </c>
      <c r="AK288" s="82">
        <f t="shared" si="703"/>
        <v>5000</v>
      </c>
      <c r="AL288" s="55"/>
      <c r="AM288" s="55"/>
      <c r="AN288" s="55"/>
      <c r="AO288" s="55">
        <v>5000</v>
      </c>
      <c r="AP288" s="82"/>
      <c r="AQ288" s="55"/>
      <c r="AR288" s="55"/>
      <c r="AS288" s="55"/>
      <c r="AT288" s="55"/>
      <c r="AU288" s="82"/>
      <c r="AV288" s="55"/>
      <c r="AW288" s="55"/>
      <c r="AX288" s="55"/>
      <c r="AY288" s="55"/>
      <c r="AZ288" s="82"/>
      <c r="BA288" s="55"/>
      <c r="BB288" s="55"/>
      <c r="BC288" s="55"/>
      <c r="BD288" s="55"/>
      <c r="BE288" s="82"/>
      <c r="BF288" s="55"/>
      <c r="BG288" s="55"/>
      <c r="BH288" s="55"/>
      <c r="BI288" s="55"/>
      <c r="BJ288" s="82"/>
      <c r="BK288" s="55"/>
      <c r="BL288" s="55"/>
      <c r="BM288" s="55"/>
      <c r="BN288" s="55"/>
      <c r="BO288" s="82"/>
      <c r="BP288" s="55"/>
      <c r="BQ288" s="55"/>
      <c r="BR288" s="55"/>
      <c r="BS288" s="55"/>
      <c r="BT288" s="82"/>
      <c r="BU288" s="55"/>
      <c r="BV288" s="55"/>
      <c r="BW288" s="55"/>
      <c r="BX288" s="55"/>
      <c r="BY288" s="82"/>
      <c r="BZ288" s="55"/>
      <c r="CA288" s="55"/>
      <c r="CB288" s="55"/>
      <c r="CC288" s="55"/>
      <c r="CD288" s="82"/>
      <c r="CE288" s="55"/>
      <c r="CF288" s="55"/>
      <c r="CG288" s="55"/>
      <c r="CH288" s="55"/>
      <c r="CI288" s="181">
        <f t="shared" si="704"/>
        <v>22000</v>
      </c>
      <c r="CJ288" s="180">
        <f t="shared" si="705"/>
        <v>0</v>
      </c>
      <c r="CK288" s="180">
        <f t="shared" si="706"/>
        <v>0</v>
      </c>
      <c r="CL288" s="180">
        <f t="shared" si="707"/>
        <v>0</v>
      </c>
      <c r="CM288" s="180">
        <f t="shared" si="708"/>
        <v>22000</v>
      </c>
      <c r="CN288" s="181">
        <f t="shared" si="697"/>
        <v>22000</v>
      </c>
      <c r="CO288" s="180">
        <f t="shared" si="698"/>
        <v>0</v>
      </c>
      <c r="CP288" s="180">
        <f t="shared" si="699"/>
        <v>0</v>
      </c>
      <c r="CQ288" s="180">
        <f t="shared" si="700"/>
        <v>0</v>
      </c>
      <c r="CR288" s="180">
        <f t="shared" si="701"/>
        <v>22000</v>
      </c>
      <c r="CS288" s="273">
        <f t="shared" si="709"/>
        <v>0</v>
      </c>
      <c r="CT288" s="14"/>
    </row>
    <row r="289" spans="1:195" s="4" customFormat="1" ht="168" x14ac:dyDescent="0.3">
      <c r="A289" s="193" t="s">
        <v>830</v>
      </c>
      <c r="B289" s="182" t="s">
        <v>601</v>
      </c>
      <c r="C289" s="182" t="s">
        <v>1351</v>
      </c>
      <c r="D289" s="193" t="s">
        <v>602</v>
      </c>
      <c r="E289" s="50" t="s">
        <v>152</v>
      </c>
      <c r="F289" s="74" t="s">
        <v>603</v>
      </c>
      <c r="G289" s="50" t="s">
        <v>117</v>
      </c>
      <c r="H289" s="528"/>
      <c r="I289" s="50" t="s">
        <v>118</v>
      </c>
      <c r="J289" s="630" t="s">
        <v>118</v>
      </c>
      <c r="K289" s="517"/>
      <c r="L289" s="630" t="s">
        <v>118</v>
      </c>
      <c r="M289" s="702" t="s">
        <v>118</v>
      </c>
      <c r="N289" s="518" t="s">
        <v>1572</v>
      </c>
      <c r="O289" s="617" t="s">
        <v>1755</v>
      </c>
      <c r="P289" s="518"/>
      <c r="Q289" s="50" t="s">
        <v>118</v>
      </c>
      <c r="R289" s="50"/>
      <c r="S289" s="50"/>
      <c r="T289" s="50"/>
      <c r="U289" s="50"/>
      <c r="V289" s="50"/>
      <c r="W289" s="50"/>
      <c r="X289" s="50"/>
      <c r="Y289" s="50"/>
      <c r="Z289" s="50"/>
      <c r="AA289" s="82">
        <f t="shared" si="679"/>
        <v>250</v>
      </c>
      <c r="AB289" s="55">
        <v>250</v>
      </c>
      <c r="AC289" s="55"/>
      <c r="AD289" s="55"/>
      <c r="AE289" s="55"/>
      <c r="AF289" s="82">
        <f t="shared" si="702"/>
        <v>100</v>
      </c>
      <c r="AG289" s="55">
        <v>100</v>
      </c>
      <c r="AH289" s="55"/>
      <c r="AI289" s="55"/>
      <c r="AJ289" s="55"/>
      <c r="AK289" s="82">
        <f t="shared" si="703"/>
        <v>100</v>
      </c>
      <c r="AL289" s="55">
        <v>100</v>
      </c>
      <c r="AM289" s="55"/>
      <c r="AN289" s="55"/>
      <c r="AO289" s="55"/>
      <c r="AP289" s="82"/>
      <c r="AQ289" s="55"/>
      <c r="AR289" s="55"/>
      <c r="AS289" s="55"/>
      <c r="AT289" s="55"/>
      <c r="AU289" s="82"/>
      <c r="AV289" s="55"/>
      <c r="AW289" s="55"/>
      <c r="AX289" s="55"/>
      <c r="AY289" s="55"/>
      <c r="AZ289" s="82"/>
      <c r="BA289" s="55"/>
      <c r="BB289" s="55"/>
      <c r="BC289" s="55"/>
      <c r="BD289" s="55"/>
      <c r="BE289" s="82"/>
      <c r="BF289" s="55"/>
      <c r="BG289" s="55"/>
      <c r="BH289" s="55"/>
      <c r="BI289" s="55"/>
      <c r="BJ289" s="82"/>
      <c r="BK289" s="55"/>
      <c r="BL289" s="55"/>
      <c r="BM289" s="55"/>
      <c r="BN289" s="55"/>
      <c r="BO289" s="82"/>
      <c r="BP289" s="55"/>
      <c r="BQ289" s="55"/>
      <c r="BR289" s="55"/>
      <c r="BS289" s="55"/>
      <c r="BT289" s="82"/>
      <c r="BU289" s="55"/>
      <c r="BV289" s="55"/>
      <c r="BW289" s="55"/>
      <c r="BX289" s="55"/>
      <c r="BY289" s="82"/>
      <c r="BZ289" s="55"/>
      <c r="CA289" s="55"/>
      <c r="CB289" s="55"/>
      <c r="CC289" s="55"/>
      <c r="CD289" s="82"/>
      <c r="CE289" s="55"/>
      <c r="CF289" s="55"/>
      <c r="CG289" s="55"/>
      <c r="CH289" s="55"/>
      <c r="CI289" s="181">
        <f t="shared" si="704"/>
        <v>450</v>
      </c>
      <c r="CJ289" s="180">
        <f t="shared" si="705"/>
        <v>450</v>
      </c>
      <c r="CK289" s="180">
        <f t="shared" si="706"/>
        <v>0</v>
      </c>
      <c r="CL289" s="180">
        <f t="shared" si="707"/>
        <v>0</v>
      </c>
      <c r="CM289" s="180">
        <f t="shared" si="708"/>
        <v>0</v>
      </c>
      <c r="CN289" s="181">
        <f t="shared" si="697"/>
        <v>450</v>
      </c>
      <c r="CO289" s="180">
        <f t="shared" si="698"/>
        <v>450</v>
      </c>
      <c r="CP289" s="180">
        <f t="shared" si="699"/>
        <v>0</v>
      </c>
      <c r="CQ289" s="180">
        <f t="shared" si="700"/>
        <v>0</v>
      </c>
      <c r="CR289" s="180">
        <f t="shared" si="701"/>
        <v>0</v>
      </c>
      <c r="CS289" s="273">
        <f t="shared" si="709"/>
        <v>0</v>
      </c>
      <c r="CT289" s="14"/>
    </row>
    <row r="290" spans="1:195" s="4" customFormat="1" ht="144" x14ac:dyDescent="0.3">
      <c r="A290" s="476" t="s">
        <v>928</v>
      </c>
      <c r="B290" s="498" t="s">
        <v>929</v>
      </c>
      <c r="C290" s="498" t="s">
        <v>1352</v>
      </c>
      <c r="D290" s="476" t="s">
        <v>482</v>
      </c>
      <c r="E290" s="477" t="s">
        <v>330</v>
      </c>
      <c r="F290" s="500" t="s">
        <v>1150</v>
      </c>
      <c r="G290" s="477"/>
      <c r="H290" s="528"/>
      <c r="I290" s="477"/>
      <c r="J290" s="630">
        <v>1</v>
      </c>
      <c r="K290" s="477" t="s">
        <v>140</v>
      </c>
      <c r="L290" s="630">
        <v>1</v>
      </c>
      <c r="M290" s="702" t="s">
        <v>140</v>
      </c>
      <c r="N290" s="599" t="s">
        <v>1573</v>
      </c>
      <c r="O290" s="617" t="s">
        <v>1624</v>
      </c>
      <c r="P290" s="518"/>
      <c r="Q290" s="477">
        <v>1</v>
      </c>
      <c r="R290" s="477"/>
      <c r="S290" s="477"/>
      <c r="T290" s="477"/>
      <c r="U290" s="477"/>
      <c r="V290" s="477"/>
      <c r="W290" s="477"/>
      <c r="X290" s="477"/>
      <c r="Y290" s="477"/>
      <c r="Z290" s="477"/>
      <c r="AA290" s="82">
        <f t="shared" si="679"/>
        <v>0</v>
      </c>
      <c r="AB290" s="55"/>
      <c r="AC290" s="55"/>
      <c r="AD290" s="55"/>
      <c r="AE290" s="55"/>
      <c r="AF290" s="82">
        <f t="shared" ref="AF290" si="710">SUM(AG290:AJ290)</f>
        <v>3000</v>
      </c>
      <c r="AG290" s="55">
        <v>3000</v>
      </c>
      <c r="AH290" s="55"/>
      <c r="AI290" s="55"/>
      <c r="AJ290" s="55"/>
      <c r="AK290" s="82">
        <f t="shared" si="703"/>
        <v>3000</v>
      </c>
      <c r="AL290" s="55">
        <v>3000</v>
      </c>
      <c r="AM290" s="55"/>
      <c r="AN290" s="55"/>
      <c r="AO290" s="55"/>
      <c r="AP290" s="82"/>
      <c r="AQ290" s="55"/>
      <c r="AR290" s="55"/>
      <c r="AS290" s="55"/>
      <c r="AT290" s="55"/>
      <c r="AU290" s="82"/>
      <c r="AV290" s="55"/>
      <c r="AW290" s="55"/>
      <c r="AX290" s="55"/>
      <c r="AY290" s="55"/>
      <c r="AZ290" s="82"/>
      <c r="BA290" s="55"/>
      <c r="BB290" s="55"/>
      <c r="BC290" s="55"/>
      <c r="BD290" s="55"/>
      <c r="BE290" s="82"/>
      <c r="BF290" s="55"/>
      <c r="BG290" s="55"/>
      <c r="BH290" s="55"/>
      <c r="BI290" s="55"/>
      <c r="BJ290" s="82"/>
      <c r="BK290" s="55"/>
      <c r="BL290" s="55"/>
      <c r="BM290" s="55"/>
      <c r="BN290" s="55"/>
      <c r="BO290" s="82"/>
      <c r="BP290" s="55"/>
      <c r="BQ290" s="55"/>
      <c r="BR290" s="55"/>
      <c r="BS290" s="55"/>
      <c r="BT290" s="82"/>
      <c r="BU290" s="55"/>
      <c r="BV290" s="55"/>
      <c r="BW290" s="55"/>
      <c r="BX290" s="55"/>
      <c r="BY290" s="82"/>
      <c r="BZ290" s="55"/>
      <c r="CA290" s="55"/>
      <c r="CB290" s="55"/>
      <c r="CC290" s="55"/>
      <c r="CD290" s="82"/>
      <c r="CE290" s="55"/>
      <c r="CF290" s="55"/>
      <c r="CG290" s="55"/>
      <c r="CH290" s="55"/>
      <c r="CI290" s="501">
        <f t="shared" ref="CI290:CI294" si="711">AA290+AF290+AK290</f>
        <v>6000</v>
      </c>
      <c r="CJ290" s="492">
        <f t="shared" ref="CJ290:CJ294" si="712">AB290+AG290+AL290</f>
        <v>6000</v>
      </c>
      <c r="CK290" s="492">
        <f t="shared" ref="CK290:CK294" si="713">AC290+AH290+AM290</f>
        <v>0</v>
      </c>
      <c r="CL290" s="492">
        <f t="shared" ref="CL290:CL294" si="714">AD290+AI290+AN290</f>
        <v>0</v>
      </c>
      <c r="CM290" s="492">
        <f t="shared" ref="CM290:CM294" si="715">AE290+AJ290+AO290</f>
        <v>0</v>
      </c>
      <c r="CN290" s="501">
        <f t="shared" si="697"/>
        <v>6000</v>
      </c>
      <c r="CO290" s="492">
        <f t="shared" si="698"/>
        <v>6000</v>
      </c>
      <c r="CP290" s="492">
        <f t="shared" si="699"/>
        <v>0</v>
      </c>
      <c r="CQ290" s="492">
        <f t="shared" si="700"/>
        <v>0</v>
      </c>
      <c r="CR290" s="492">
        <f t="shared" si="701"/>
        <v>0</v>
      </c>
      <c r="CS290" s="501">
        <f>CN290-CO290-CP290-CQ290-CR290</f>
        <v>0</v>
      </c>
      <c r="CT290" s="14"/>
    </row>
    <row r="291" spans="1:195" s="4" customFormat="1" ht="126.75" customHeight="1" x14ac:dyDescent="0.35">
      <c r="A291" s="714" t="s">
        <v>937</v>
      </c>
      <c r="B291" s="839" t="s">
        <v>935</v>
      </c>
      <c r="C291" s="839" t="s">
        <v>1353</v>
      </c>
      <c r="D291" s="714" t="s">
        <v>1151</v>
      </c>
      <c r="E291" s="716" t="s">
        <v>936</v>
      </c>
      <c r="F291" s="74" t="s">
        <v>938</v>
      </c>
      <c r="G291" s="50" t="s">
        <v>62</v>
      </c>
      <c r="H291" s="528" t="s">
        <v>140</v>
      </c>
      <c r="I291" s="83">
        <f>67/123*100</f>
        <v>54.471544715447152</v>
      </c>
      <c r="J291" s="83"/>
      <c r="K291" s="83"/>
      <c r="L291" s="83"/>
      <c r="M291" s="664">
        <v>100</v>
      </c>
      <c r="N291" s="597"/>
      <c r="O291" s="625"/>
      <c r="P291" s="444"/>
      <c r="Q291" s="83"/>
      <c r="R291" s="50"/>
      <c r="S291" s="50"/>
      <c r="T291" s="50"/>
      <c r="U291" s="50"/>
      <c r="V291" s="50"/>
      <c r="W291" s="50"/>
      <c r="X291" s="50"/>
      <c r="Y291" s="50"/>
      <c r="Z291" s="50"/>
      <c r="AA291" s="826">
        <f>SUM(AB291:AE291)</f>
        <v>43319.200000000004</v>
      </c>
      <c r="AB291" s="763">
        <v>2417.1999999999998</v>
      </c>
      <c r="AC291" s="763">
        <v>1992.2</v>
      </c>
      <c r="AD291" s="763">
        <v>37852.9</v>
      </c>
      <c r="AE291" s="763">
        <v>1056.9000000000001</v>
      </c>
      <c r="AF291" s="826">
        <f>SUM(AG291:AJ291)</f>
        <v>20020.999999999996</v>
      </c>
      <c r="AG291" s="763">
        <v>699.6</v>
      </c>
      <c r="AH291" s="763">
        <v>18505.099999999999</v>
      </c>
      <c r="AI291" s="763"/>
      <c r="AJ291" s="763">
        <v>816.3</v>
      </c>
      <c r="AK291" s="826"/>
      <c r="AL291" s="763"/>
      <c r="AM291" s="763"/>
      <c r="AN291" s="763"/>
      <c r="AO291" s="763"/>
      <c r="AP291" s="826"/>
      <c r="AQ291" s="763"/>
      <c r="AR291" s="763"/>
      <c r="AS291" s="763"/>
      <c r="AT291" s="763"/>
      <c r="AU291" s="826"/>
      <c r="AV291" s="763"/>
      <c r="AW291" s="763"/>
      <c r="AX291" s="763"/>
      <c r="AY291" s="763"/>
      <c r="AZ291" s="826"/>
      <c r="BA291" s="763"/>
      <c r="BB291" s="763"/>
      <c r="BC291" s="763"/>
      <c r="BD291" s="763"/>
      <c r="BE291" s="826"/>
      <c r="BF291" s="763"/>
      <c r="BG291" s="763"/>
      <c r="BH291" s="763"/>
      <c r="BI291" s="763"/>
      <c r="BJ291" s="826"/>
      <c r="BK291" s="763"/>
      <c r="BL291" s="763"/>
      <c r="BM291" s="763"/>
      <c r="BN291" s="763"/>
      <c r="BO291" s="826"/>
      <c r="BP291" s="763"/>
      <c r="BQ291" s="763"/>
      <c r="BR291" s="763"/>
      <c r="BS291" s="763"/>
      <c r="BT291" s="826"/>
      <c r="BU291" s="763"/>
      <c r="BV291" s="763"/>
      <c r="BW291" s="763"/>
      <c r="BX291" s="763"/>
      <c r="BY291" s="826"/>
      <c r="BZ291" s="763"/>
      <c r="CA291" s="763"/>
      <c r="CB291" s="763"/>
      <c r="CC291" s="763"/>
      <c r="CD291" s="826"/>
      <c r="CE291" s="763"/>
      <c r="CF291" s="763"/>
      <c r="CG291" s="763"/>
      <c r="CH291" s="763"/>
      <c r="CI291" s="773">
        <f t="shared" si="711"/>
        <v>63340.2</v>
      </c>
      <c r="CJ291" s="791">
        <f t="shared" si="712"/>
        <v>3116.7999999999997</v>
      </c>
      <c r="CK291" s="791">
        <f t="shared" si="713"/>
        <v>20497.3</v>
      </c>
      <c r="CL291" s="791">
        <f t="shared" si="714"/>
        <v>37852.9</v>
      </c>
      <c r="CM291" s="791">
        <f t="shared" si="715"/>
        <v>1873.2</v>
      </c>
      <c r="CN291" s="773">
        <f t="shared" si="697"/>
        <v>63340.2</v>
      </c>
      <c r="CO291" s="791">
        <f t="shared" si="698"/>
        <v>3116.7999999999997</v>
      </c>
      <c r="CP291" s="791">
        <f t="shared" si="699"/>
        <v>20497.3</v>
      </c>
      <c r="CQ291" s="791">
        <f t="shared" si="700"/>
        <v>37852.9</v>
      </c>
      <c r="CR291" s="791">
        <f t="shared" si="701"/>
        <v>1873.2</v>
      </c>
      <c r="CS291" s="775">
        <f>CN291-CO291-CP291-CQ291-CR291</f>
        <v>-1.0231815394945443E-11</v>
      </c>
      <c r="CT291" s="14"/>
    </row>
    <row r="292" spans="1:195" s="4" customFormat="1" ht="144" x14ac:dyDescent="0.35">
      <c r="A292" s="715"/>
      <c r="B292" s="840"/>
      <c r="C292" s="840"/>
      <c r="D292" s="715"/>
      <c r="E292" s="717"/>
      <c r="F292" s="74" t="s">
        <v>939</v>
      </c>
      <c r="G292" s="50" t="s">
        <v>62</v>
      </c>
      <c r="H292" s="528" t="s">
        <v>140</v>
      </c>
      <c r="I292" s="83">
        <v>34.5</v>
      </c>
      <c r="J292" s="83"/>
      <c r="K292" s="83">
        <v>100</v>
      </c>
      <c r="L292" s="83"/>
      <c r="M292" s="664"/>
      <c r="N292" s="597"/>
      <c r="O292" s="625"/>
      <c r="P292" s="444"/>
      <c r="Q292" s="83"/>
      <c r="R292" s="50"/>
      <c r="S292" s="50"/>
      <c r="T292" s="50"/>
      <c r="U292" s="50"/>
      <c r="V292" s="50"/>
      <c r="W292" s="50"/>
      <c r="X292" s="50"/>
      <c r="Y292" s="50"/>
      <c r="Z292" s="50"/>
      <c r="AA292" s="827"/>
      <c r="AB292" s="764"/>
      <c r="AC292" s="764"/>
      <c r="AD292" s="764"/>
      <c r="AE292" s="764"/>
      <c r="AF292" s="827"/>
      <c r="AG292" s="764"/>
      <c r="AH292" s="764"/>
      <c r="AI292" s="764"/>
      <c r="AJ292" s="764"/>
      <c r="AK292" s="827"/>
      <c r="AL292" s="764"/>
      <c r="AM292" s="764"/>
      <c r="AN292" s="764"/>
      <c r="AO292" s="764"/>
      <c r="AP292" s="827"/>
      <c r="AQ292" s="764"/>
      <c r="AR292" s="764"/>
      <c r="AS292" s="764"/>
      <c r="AT292" s="764"/>
      <c r="AU292" s="827"/>
      <c r="AV292" s="764"/>
      <c r="AW292" s="764"/>
      <c r="AX292" s="764"/>
      <c r="AY292" s="764"/>
      <c r="AZ292" s="827"/>
      <c r="BA292" s="764"/>
      <c r="BB292" s="764"/>
      <c r="BC292" s="764"/>
      <c r="BD292" s="764"/>
      <c r="BE292" s="827"/>
      <c r="BF292" s="764"/>
      <c r="BG292" s="764"/>
      <c r="BH292" s="764"/>
      <c r="BI292" s="764"/>
      <c r="BJ292" s="827"/>
      <c r="BK292" s="764"/>
      <c r="BL292" s="764"/>
      <c r="BM292" s="764"/>
      <c r="BN292" s="764"/>
      <c r="BO292" s="827"/>
      <c r="BP292" s="764"/>
      <c r="BQ292" s="764"/>
      <c r="BR292" s="764"/>
      <c r="BS292" s="764"/>
      <c r="BT292" s="827"/>
      <c r="BU292" s="764"/>
      <c r="BV292" s="764"/>
      <c r="BW292" s="764"/>
      <c r="BX292" s="764"/>
      <c r="BY292" s="827"/>
      <c r="BZ292" s="764"/>
      <c r="CA292" s="764"/>
      <c r="CB292" s="764"/>
      <c r="CC292" s="764"/>
      <c r="CD292" s="827"/>
      <c r="CE292" s="764"/>
      <c r="CF292" s="764"/>
      <c r="CG292" s="764"/>
      <c r="CH292" s="764"/>
      <c r="CI292" s="774"/>
      <c r="CJ292" s="792"/>
      <c r="CK292" s="792"/>
      <c r="CL292" s="792"/>
      <c r="CM292" s="792"/>
      <c r="CN292" s="774"/>
      <c r="CO292" s="792"/>
      <c r="CP292" s="792"/>
      <c r="CQ292" s="792"/>
      <c r="CR292" s="792"/>
      <c r="CS292" s="776"/>
      <c r="CT292" s="14"/>
    </row>
    <row r="293" spans="1:195" s="4" customFormat="1" ht="291" x14ac:dyDescent="0.3">
      <c r="A293" s="476" t="s">
        <v>942</v>
      </c>
      <c r="B293" s="498" t="s">
        <v>944</v>
      </c>
      <c r="C293" s="498" t="s">
        <v>1354</v>
      </c>
      <c r="D293" s="476" t="s">
        <v>969</v>
      </c>
      <c r="E293" s="477" t="s">
        <v>273</v>
      </c>
      <c r="F293" s="500" t="s">
        <v>1040</v>
      </c>
      <c r="G293" s="477" t="s">
        <v>31</v>
      </c>
      <c r="H293" s="528"/>
      <c r="I293" s="84"/>
      <c r="J293" s="84">
        <v>1</v>
      </c>
      <c r="K293" s="84">
        <v>1</v>
      </c>
      <c r="L293" s="84"/>
      <c r="M293" s="666"/>
      <c r="N293" s="613" t="s">
        <v>1574</v>
      </c>
      <c r="O293" s="613"/>
      <c r="P293" s="613"/>
      <c r="Q293" s="83"/>
      <c r="R293" s="477"/>
      <c r="S293" s="477"/>
      <c r="T293" s="477"/>
      <c r="U293" s="477"/>
      <c r="V293" s="477"/>
      <c r="W293" s="477"/>
      <c r="X293" s="477"/>
      <c r="Y293" s="477"/>
      <c r="Z293" s="477"/>
      <c r="AA293" s="82">
        <f>SUM(AB293:AE293)</f>
        <v>2000</v>
      </c>
      <c r="AB293" s="55">
        <v>2000</v>
      </c>
      <c r="AC293" s="55"/>
      <c r="AD293" s="55"/>
      <c r="AE293" s="55"/>
      <c r="AF293" s="82">
        <f>SUM(AG293:AJ293)</f>
        <v>3000</v>
      </c>
      <c r="AG293" s="55">
        <v>3000</v>
      </c>
      <c r="AH293" s="55"/>
      <c r="AI293" s="55"/>
      <c r="AJ293" s="55"/>
      <c r="AK293" s="82"/>
      <c r="AL293" s="55"/>
      <c r="AM293" s="55"/>
      <c r="AN293" s="55"/>
      <c r="AO293" s="55"/>
      <c r="AP293" s="82"/>
      <c r="AQ293" s="55"/>
      <c r="AR293" s="55"/>
      <c r="AS293" s="55"/>
      <c r="AT293" s="55"/>
      <c r="AU293" s="82"/>
      <c r="AV293" s="55"/>
      <c r="AW293" s="55"/>
      <c r="AX293" s="55"/>
      <c r="AY293" s="55"/>
      <c r="AZ293" s="82"/>
      <c r="BA293" s="55"/>
      <c r="BB293" s="55"/>
      <c r="BC293" s="55"/>
      <c r="BD293" s="55"/>
      <c r="BE293" s="82"/>
      <c r="BF293" s="55"/>
      <c r="BG293" s="55"/>
      <c r="BH293" s="55"/>
      <c r="BI293" s="55"/>
      <c r="BJ293" s="82"/>
      <c r="BK293" s="55"/>
      <c r="BL293" s="55"/>
      <c r="BM293" s="55"/>
      <c r="BN293" s="55"/>
      <c r="BO293" s="82"/>
      <c r="BP293" s="55"/>
      <c r="BQ293" s="55"/>
      <c r="BR293" s="55"/>
      <c r="BS293" s="55"/>
      <c r="BT293" s="82"/>
      <c r="BU293" s="55"/>
      <c r="BV293" s="55"/>
      <c r="BW293" s="55"/>
      <c r="BX293" s="55"/>
      <c r="BY293" s="82"/>
      <c r="BZ293" s="55"/>
      <c r="CA293" s="55"/>
      <c r="CB293" s="55"/>
      <c r="CC293" s="55"/>
      <c r="CD293" s="82"/>
      <c r="CE293" s="55"/>
      <c r="CF293" s="55"/>
      <c r="CG293" s="55"/>
      <c r="CH293" s="55"/>
      <c r="CI293" s="501">
        <f t="shared" si="711"/>
        <v>5000</v>
      </c>
      <c r="CJ293" s="492">
        <f t="shared" si="712"/>
        <v>5000</v>
      </c>
      <c r="CK293" s="492">
        <f t="shared" si="713"/>
        <v>0</v>
      </c>
      <c r="CL293" s="492">
        <f t="shared" si="714"/>
        <v>0</v>
      </c>
      <c r="CM293" s="492">
        <f t="shared" si="715"/>
        <v>0</v>
      </c>
      <c r="CN293" s="501">
        <f t="shared" ref="CN293:CR294" si="716">AA293+AF293+AK293+AP293+AU293+AZ293+BE293+BJ293+BO293+BT293+BY293+CD293</f>
        <v>5000</v>
      </c>
      <c r="CO293" s="492">
        <f t="shared" si="716"/>
        <v>5000</v>
      </c>
      <c r="CP293" s="492">
        <f t="shared" si="716"/>
        <v>0</v>
      </c>
      <c r="CQ293" s="492">
        <f t="shared" si="716"/>
        <v>0</v>
      </c>
      <c r="CR293" s="492">
        <f t="shared" si="716"/>
        <v>0</v>
      </c>
      <c r="CS293" s="501">
        <f>CN293-CO293-CP293-CQ293-CR293</f>
        <v>0</v>
      </c>
      <c r="CT293" s="14"/>
    </row>
    <row r="294" spans="1:195" s="4" customFormat="1" ht="96" x14ac:dyDescent="0.35">
      <c r="A294" s="193" t="s">
        <v>943</v>
      </c>
      <c r="B294" s="182" t="s">
        <v>945</v>
      </c>
      <c r="C294" s="182" t="s">
        <v>1476</v>
      </c>
      <c r="D294" s="193" t="s">
        <v>970</v>
      </c>
      <c r="E294" s="50">
        <v>2019</v>
      </c>
      <c r="F294" s="74" t="s">
        <v>946</v>
      </c>
      <c r="G294" s="50" t="s">
        <v>31</v>
      </c>
      <c r="H294" s="528"/>
      <c r="I294" s="84">
        <v>1</v>
      </c>
      <c r="J294" s="84"/>
      <c r="K294" s="84">
        <v>1</v>
      </c>
      <c r="L294" s="84"/>
      <c r="M294" s="666"/>
      <c r="N294" s="444"/>
      <c r="O294" s="625"/>
      <c r="P294" s="444"/>
      <c r="Q294" s="83"/>
      <c r="R294" s="50"/>
      <c r="S294" s="50"/>
      <c r="T294" s="50"/>
      <c r="U294" s="50"/>
      <c r="V294" s="50"/>
      <c r="W294" s="50"/>
      <c r="X294" s="50"/>
      <c r="Y294" s="50"/>
      <c r="Z294" s="50"/>
      <c r="AA294" s="82">
        <f>SUM(AB294:AE294)</f>
        <v>12627</v>
      </c>
      <c r="AB294" s="55">
        <v>12627</v>
      </c>
      <c r="AC294" s="55"/>
      <c r="AD294" s="55"/>
      <c r="AE294" s="55"/>
      <c r="AF294" s="82"/>
      <c r="AG294" s="55"/>
      <c r="AH294" s="55"/>
      <c r="AI294" s="55"/>
      <c r="AJ294" s="55"/>
      <c r="AK294" s="82"/>
      <c r="AL294" s="55"/>
      <c r="AM294" s="55"/>
      <c r="AN294" s="55"/>
      <c r="AO294" s="55"/>
      <c r="AP294" s="82"/>
      <c r="AQ294" s="55"/>
      <c r="AR294" s="55"/>
      <c r="AS294" s="55"/>
      <c r="AT294" s="55"/>
      <c r="AU294" s="82"/>
      <c r="AV294" s="55"/>
      <c r="AW294" s="55"/>
      <c r="AX294" s="55"/>
      <c r="AY294" s="55"/>
      <c r="AZ294" s="82"/>
      <c r="BA294" s="55"/>
      <c r="BB294" s="55"/>
      <c r="BC294" s="55"/>
      <c r="BD294" s="55"/>
      <c r="BE294" s="82"/>
      <c r="BF294" s="55"/>
      <c r="BG294" s="55"/>
      <c r="BH294" s="55"/>
      <c r="BI294" s="55"/>
      <c r="BJ294" s="82"/>
      <c r="BK294" s="55"/>
      <c r="BL294" s="55"/>
      <c r="BM294" s="55"/>
      <c r="BN294" s="55"/>
      <c r="BO294" s="82"/>
      <c r="BP294" s="55"/>
      <c r="BQ294" s="55"/>
      <c r="BR294" s="55"/>
      <c r="BS294" s="55"/>
      <c r="BT294" s="82"/>
      <c r="BU294" s="55"/>
      <c r="BV294" s="55"/>
      <c r="BW294" s="55"/>
      <c r="BX294" s="55"/>
      <c r="BY294" s="82"/>
      <c r="BZ294" s="55"/>
      <c r="CA294" s="55"/>
      <c r="CB294" s="55"/>
      <c r="CC294" s="55"/>
      <c r="CD294" s="82"/>
      <c r="CE294" s="55"/>
      <c r="CF294" s="55"/>
      <c r="CG294" s="55"/>
      <c r="CH294" s="55"/>
      <c r="CI294" s="181">
        <f t="shared" si="711"/>
        <v>12627</v>
      </c>
      <c r="CJ294" s="180">
        <f t="shared" si="712"/>
        <v>12627</v>
      </c>
      <c r="CK294" s="180">
        <f t="shared" si="713"/>
        <v>0</v>
      </c>
      <c r="CL294" s="180">
        <f t="shared" si="714"/>
        <v>0</v>
      </c>
      <c r="CM294" s="180">
        <f t="shared" si="715"/>
        <v>0</v>
      </c>
      <c r="CN294" s="181">
        <f t="shared" si="716"/>
        <v>12627</v>
      </c>
      <c r="CO294" s="180">
        <f t="shared" si="716"/>
        <v>12627</v>
      </c>
      <c r="CP294" s="180">
        <f t="shared" si="716"/>
        <v>0</v>
      </c>
      <c r="CQ294" s="180">
        <f t="shared" si="716"/>
        <v>0</v>
      </c>
      <c r="CR294" s="180">
        <f t="shared" si="716"/>
        <v>0</v>
      </c>
      <c r="CS294" s="273">
        <f>CN294-CO294-CP294-CQ294-CR294</f>
        <v>0</v>
      </c>
      <c r="CT294" s="14"/>
    </row>
    <row r="295" spans="1:195" s="10" customFormat="1" x14ac:dyDescent="0.3">
      <c r="A295" s="363" t="s">
        <v>604</v>
      </c>
      <c r="B295" s="903" t="s">
        <v>605</v>
      </c>
      <c r="C295" s="904"/>
      <c r="D295" s="904"/>
      <c r="E295" s="904"/>
      <c r="F295" s="904"/>
      <c r="G295" s="904"/>
      <c r="H295" s="904"/>
      <c r="I295" s="904"/>
      <c r="J295" s="904"/>
      <c r="K295" s="904"/>
      <c r="L295" s="904"/>
      <c r="M295" s="904"/>
      <c r="N295" s="905"/>
      <c r="O295" s="619"/>
      <c r="P295" s="619"/>
      <c r="Q295" s="88"/>
      <c r="R295" s="88"/>
      <c r="S295" s="88"/>
      <c r="T295" s="88"/>
      <c r="U295" s="88"/>
      <c r="V295" s="88"/>
      <c r="W295" s="88"/>
      <c r="X295" s="88"/>
      <c r="Y295" s="88"/>
      <c r="Z295" s="88"/>
      <c r="AA295" s="89"/>
      <c r="AB295" s="89"/>
      <c r="AC295" s="89"/>
      <c r="AD295" s="89"/>
      <c r="AE295" s="89"/>
      <c r="AF295" s="89"/>
      <c r="AG295" s="89"/>
      <c r="AH295" s="89"/>
      <c r="AI295" s="89"/>
      <c r="AJ295" s="89"/>
      <c r="AK295" s="89"/>
      <c r="AL295" s="89"/>
      <c r="AM295" s="89"/>
      <c r="AN295" s="89"/>
      <c r="AO295" s="89"/>
      <c r="AP295" s="136"/>
      <c r="AQ295" s="89"/>
      <c r="AR295" s="89"/>
      <c r="AS295" s="89"/>
      <c r="AT295" s="89"/>
      <c r="AU295" s="136"/>
      <c r="AV295" s="89"/>
      <c r="AW295" s="89"/>
      <c r="AX295" s="89"/>
      <c r="AY295" s="89"/>
      <c r="AZ295" s="136"/>
      <c r="BA295" s="89"/>
      <c r="BB295" s="89"/>
      <c r="BC295" s="89"/>
      <c r="BD295" s="89"/>
      <c r="BE295" s="136"/>
      <c r="BF295" s="89"/>
      <c r="BG295" s="89"/>
      <c r="BH295" s="89"/>
      <c r="BI295" s="89"/>
      <c r="BJ295" s="136"/>
      <c r="BK295" s="89"/>
      <c r="BL295" s="89"/>
      <c r="BM295" s="89"/>
      <c r="BN295" s="89"/>
      <c r="BO295" s="136"/>
      <c r="BP295" s="89"/>
      <c r="BQ295" s="89"/>
      <c r="BR295" s="89"/>
      <c r="BS295" s="89"/>
      <c r="BT295" s="136"/>
      <c r="BU295" s="89"/>
      <c r="BV295" s="89"/>
      <c r="BW295" s="89"/>
      <c r="BX295" s="89"/>
      <c r="BY295" s="136"/>
      <c r="BZ295" s="89"/>
      <c r="CA295" s="89"/>
      <c r="CB295" s="89"/>
      <c r="CC295" s="89"/>
      <c r="CD295" s="136"/>
      <c r="CE295" s="89"/>
      <c r="CF295" s="89"/>
      <c r="CG295" s="89"/>
      <c r="CH295" s="89"/>
      <c r="CI295" s="89"/>
      <c r="CJ295" s="89"/>
      <c r="CK295" s="89"/>
      <c r="CL295" s="89"/>
      <c r="CM295" s="89"/>
      <c r="CN295" s="56">
        <f>CN296+CN301</f>
        <v>1530677.2000000004</v>
      </c>
      <c r="CO295" s="56">
        <f t="shared" ref="CO295:CS295" si="717">CO296+CO301</f>
        <v>70000</v>
      </c>
      <c r="CP295" s="56">
        <f t="shared" si="717"/>
        <v>0</v>
      </c>
      <c r="CQ295" s="56">
        <f t="shared" si="717"/>
        <v>0</v>
      </c>
      <c r="CR295" s="56">
        <f t="shared" si="717"/>
        <v>851673</v>
      </c>
      <c r="CS295" s="273">
        <f t="shared" si="717"/>
        <v>609004.20000000042</v>
      </c>
      <c r="CT295" s="1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row>
    <row r="296" spans="1:195" s="8" customFormat="1" x14ac:dyDescent="0.3">
      <c r="A296" s="362" t="s">
        <v>606</v>
      </c>
      <c r="B296" s="813" t="s">
        <v>607</v>
      </c>
      <c r="C296" s="813"/>
      <c r="D296" s="813"/>
      <c r="E296" s="813"/>
      <c r="F296" s="813"/>
      <c r="G296" s="813"/>
      <c r="H296" s="813"/>
      <c r="I296" s="813"/>
      <c r="J296" s="813"/>
      <c r="K296" s="813"/>
      <c r="L296" s="813"/>
      <c r="M296" s="813"/>
      <c r="N296" s="813"/>
      <c r="O296" s="813"/>
      <c r="P296" s="813"/>
      <c r="Q296" s="813"/>
      <c r="R296" s="813"/>
      <c r="S296" s="813"/>
      <c r="T296" s="813"/>
      <c r="U296" s="813"/>
      <c r="V296" s="813"/>
      <c r="W296" s="813"/>
      <c r="X296" s="813"/>
      <c r="Y296" s="813"/>
      <c r="Z296" s="813"/>
      <c r="AA296" s="813"/>
      <c r="AB296" s="813"/>
      <c r="AC296" s="813"/>
      <c r="AD296" s="813"/>
      <c r="AE296" s="813"/>
      <c r="AF296" s="813"/>
      <c r="AG296" s="813"/>
      <c r="AH296" s="813"/>
      <c r="AI296" s="813"/>
      <c r="AJ296" s="813"/>
      <c r="AK296" s="813"/>
      <c r="AL296" s="813"/>
      <c r="AM296" s="813"/>
      <c r="AN296" s="813"/>
      <c r="AO296" s="813"/>
      <c r="AP296" s="813"/>
      <c r="AQ296" s="813"/>
      <c r="AR296" s="813"/>
      <c r="AS296" s="813"/>
      <c r="AT296" s="813"/>
      <c r="AU296" s="813"/>
      <c r="AV296" s="813"/>
      <c r="AW296" s="813"/>
      <c r="AX296" s="813"/>
      <c r="AY296" s="813"/>
      <c r="AZ296" s="813"/>
      <c r="BA296" s="813"/>
      <c r="BB296" s="813"/>
      <c r="BC296" s="813"/>
      <c r="BD296" s="813"/>
      <c r="BE296" s="813"/>
      <c r="BF296" s="813"/>
      <c r="BG296" s="813"/>
      <c r="BH296" s="813"/>
      <c r="BI296" s="813"/>
      <c r="BJ296" s="813"/>
      <c r="BK296" s="813"/>
      <c r="BL296" s="813"/>
      <c r="BM296" s="813"/>
      <c r="BN296" s="813"/>
      <c r="BO296" s="813"/>
      <c r="BP296" s="813"/>
      <c r="BQ296" s="813"/>
      <c r="BR296" s="813"/>
      <c r="BS296" s="813"/>
      <c r="BT296" s="813"/>
      <c r="BU296" s="813"/>
      <c r="BV296" s="813"/>
      <c r="BW296" s="813"/>
      <c r="BX296" s="813"/>
      <c r="BY296" s="813"/>
      <c r="BZ296" s="813"/>
      <c r="CA296" s="813"/>
      <c r="CB296" s="813"/>
      <c r="CC296" s="813"/>
      <c r="CD296" s="813"/>
      <c r="CE296" s="813"/>
      <c r="CF296" s="813"/>
      <c r="CG296" s="813"/>
      <c r="CH296" s="813"/>
      <c r="CI296" s="813"/>
      <c r="CJ296" s="813"/>
      <c r="CK296" s="813"/>
      <c r="CL296" s="813"/>
      <c r="CM296" s="813"/>
      <c r="CN296" s="277">
        <f>CN297+CN298+CN299+CN300</f>
        <v>1460677.2000000004</v>
      </c>
      <c r="CO296" s="277">
        <f t="shared" ref="CO296:CS296" si="718">CO297+CO298+CO299+CO300</f>
        <v>0</v>
      </c>
      <c r="CP296" s="277">
        <f t="shared" si="718"/>
        <v>0</v>
      </c>
      <c r="CQ296" s="277">
        <f t="shared" si="718"/>
        <v>0</v>
      </c>
      <c r="CR296" s="277">
        <f t="shared" si="718"/>
        <v>851673</v>
      </c>
      <c r="CS296" s="273">
        <f t="shared" si="718"/>
        <v>609004.20000000042</v>
      </c>
      <c r="CT296" s="1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row>
    <row r="297" spans="1:195" s="4" customFormat="1" ht="144" x14ac:dyDescent="0.3">
      <c r="A297" s="190" t="s">
        <v>608</v>
      </c>
      <c r="B297" s="182" t="s">
        <v>609</v>
      </c>
      <c r="C297" s="182" t="s">
        <v>610</v>
      </c>
      <c r="D297" s="193" t="s">
        <v>468</v>
      </c>
      <c r="E297" s="193" t="s">
        <v>611</v>
      </c>
      <c r="F297" s="716" t="s">
        <v>954</v>
      </c>
      <c r="G297" s="716" t="s">
        <v>955</v>
      </c>
      <c r="H297" s="716">
        <v>1893.7</v>
      </c>
      <c r="I297" s="752">
        <v>454</v>
      </c>
      <c r="J297" s="752">
        <v>454</v>
      </c>
      <c r="K297" s="752">
        <v>1834.4</v>
      </c>
      <c r="L297" s="752">
        <v>454</v>
      </c>
      <c r="M297" s="754">
        <v>1627.1</v>
      </c>
      <c r="N297" s="918" t="s">
        <v>1575</v>
      </c>
      <c r="O297" s="918" t="s">
        <v>1728</v>
      </c>
      <c r="P297" s="572"/>
      <c r="Q297" s="752">
        <v>454</v>
      </c>
      <c r="R297" s="752">
        <v>454</v>
      </c>
      <c r="S297" s="752">
        <v>353.5</v>
      </c>
      <c r="T297" s="752">
        <v>353.5</v>
      </c>
      <c r="U297" s="752">
        <v>353.5</v>
      </c>
      <c r="V297" s="752">
        <v>353.5</v>
      </c>
      <c r="W297" s="752">
        <v>353.5</v>
      </c>
      <c r="X297" s="752">
        <v>353.5</v>
      </c>
      <c r="Y297" s="752">
        <v>353.5</v>
      </c>
      <c r="Z297" s="752">
        <v>353.5</v>
      </c>
      <c r="AA297" s="70"/>
      <c r="AB297" s="70"/>
      <c r="AC297" s="70"/>
      <c r="AD297" s="70"/>
      <c r="AE297" s="70"/>
      <c r="AF297" s="70"/>
      <c r="AG297" s="70"/>
      <c r="AH297" s="70"/>
      <c r="AI297" s="70"/>
      <c r="AJ297" s="70"/>
      <c r="AK297" s="70"/>
      <c r="AL297" s="70"/>
      <c r="AM297" s="70"/>
      <c r="AN297" s="70"/>
      <c r="AO297" s="70"/>
      <c r="AP297" s="77"/>
      <c r="AQ297" s="70"/>
      <c r="AR297" s="70"/>
      <c r="AS297" s="70"/>
      <c r="AT297" s="70"/>
      <c r="AU297" s="77"/>
      <c r="AV297" s="70"/>
      <c r="AW297" s="70"/>
      <c r="AX297" s="70"/>
      <c r="AY297" s="70"/>
      <c r="AZ297" s="77"/>
      <c r="BA297" s="70"/>
      <c r="BB297" s="70"/>
      <c r="BC297" s="70"/>
      <c r="BD297" s="70"/>
      <c r="BE297" s="77"/>
      <c r="BF297" s="70"/>
      <c r="BG297" s="70"/>
      <c r="BH297" s="70"/>
      <c r="BI297" s="70"/>
      <c r="BJ297" s="77"/>
      <c r="BK297" s="70"/>
      <c r="BL297" s="70"/>
      <c r="BM297" s="70"/>
      <c r="BN297" s="70"/>
      <c r="BO297" s="77"/>
      <c r="BP297" s="70"/>
      <c r="BQ297" s="70"/>
      <c r="BR297" s="70"/>
      <c r="BS297" s="70"/>
      <c r="BT297" s="77"/>
      <c r="BU297" s="70"/>
      <c r="BV297" s="70"/>
      <c r="BW297" s="70"/>
      <c r="BX297" s="70"/>
      <c r="BY297" s="77"/>
      <c r="BZ297" s="70"/>
      <c r="CA297" s="70"/>
      <c r="CB297" s="70"/>
      <c r="CC297" s="70"/>
      <c r="CD297" s="77"/>
      <c r="CE297" s="70"/>
      <c r="CF297" s="70"/>
      <c r="CG297" s="70"/>
      <c r="CH297" s="70"/>
      <c r="CI297" s="181">
        <f>AA297+AF297+AK297</f>
        <v>0</v>
      </c>
      <c r="CJ297" s="180">
        <f t="shared" ref="CJ297" si="719">AB297+AG297+AL297</f>
        <v>0</v>
      </c>
      <c r="CK297" s="180">
        <f t="shared" ref="CK297" si="720">AC297+AH297+AM297</f>
        <v>0</v>
      </c>
      <c r="CL297" s="180">
        <f t="shared" ref="CL297" si="721">AD297+AI297+AN297</f>
        <v>0</v>
      </c>
      <c r="CM297" s="180">
        <f t="shared" ref="CM297" si="722">AE297+AJ297+AO297</f>
        <v>0</v>
      </c>
      <c r="CN297" s="181">
        <f t="shared" ref="CN297:CR300" si="723">AA297+AF297+AK297+AP297+AU297+AZ297+BE297+BJ297+BO297+BT297+BY297+CD297</f>
        <v>0</v>
      </c>
      <c r="CO297" s="180">
        <f t="shared" si="723"/>
        <v>0</v>
      </c>
      <c r="CP297" s="180">
        <f t="shared" si="723"/>
        <v>0</v>
      </c>
      <c r="CQ297" s="180">
        <f t="shared" si="723"/>
        <v>0</v>
      </c>
      <c r="CR297" s="180">
        <f t="shared" si="723"/>
        <v>0</v>
      </c>
      <c r="CS297" s="273">
        <f>CN297-CO297-CP297-CQ297-CR297</f>
        <v>0</v>
      </c>
      <c r="CT297" s="471"/>
    </row>
    <row r="298" spans="1:195" s="4" customFormat="1" ht="240" x14ac:dyDescent="0.3">
      <c r="A298" s="190" t="s">
        <v>612</v>
      </c>
      <c r="B298" s="182" t="s">
        <v>613</v>
      </c>
      <c r="C298" s="182" t="s">
        <v>1356</v>
      </c>
      <c r="D298" s="193" t="s">
        <v>468</v>
      </c>
      <c r="E298" s="193" t="s">
        <v>614</v>
      </c>
      <c r="F298" s="717"/>
      <c r="G298" s="717"/>
      <c r="H298" s="717"/>
      <c r="I298" s="753"/>
      <c r="J298" s="753"/>
      <c r="K298" s="753"/>
      <c r="L298" s="753"/>
      <c r="M298" s="755"/>
      <c r="N298" s="919"/>
      <c r="O298" s="919"/>
      <c r="P298" s="573"/>
      <c r="Q298" s="753"/>
      <c r="R298" s="753"/>
      <c r="S298" s="753"/>
      <c r="T298" s="753"/>
      <c r="U298" s="753"/>
      <c r="V298" s="753"/>
      <c r="W298" s="753"/>
      <c r="X298" s="753"/>
      <c r="Y298" s="753"/>
      <c r="Z298" s="753"/>
      <c r="AA298" s="70"/>
      <c r="AB298" s="70"/>
      <c r="AC298" s="70"/>
      <c r="AD298" s="70"/>
      <c r="AE298" s="70"/>
      <c r="AF298" s="70"/>
      <c r="AG298" s="70"/>
      <c r="AH298" s="70"/>
      <c r="AI298" s="70"/>
      <c r="AJ298" s="70"/>
      <c r="AK298" s="70"/>
      <c r="AL298" s="70"/>
      <c r="AM298" s="70"/>
      <c r="AN298" s="70"/>
      <c r="AO298" s="70"/>
      <c r="AP298" s="77"/>
      <c r="AQ298" s="70"/>
      <c r="AR298" s="70"/>
      <c r="AS298" s="70"/>
      <c r="AT298" s="70"/>
      <c r="AU298" s="77"/>
      <c r="AV298" s="70"/>
      <c r="AW298" s="70"/>
      <c r="AX298" s="70"/>
      <c r="AY298" s="70"/>
      <c r="AZ298" s="77"/>
      <c r="BA298" s="70"/>
      <c r="BB298" s="70"/>
      <c r="BC298" s="70"/>
      <c r="BD298" s="70"/>
      <c r="BE298" s="77"/>
      <c r="BF298" s="70"/>
      <c r="BG298" s="70"/>
      <c r="BH298" s="70"/>
      <c r="BI298" s="70"/>
      <c r="BJ298" s="77"/>
      <c r="BK298" s="70"/>
      <c r="BL298" s="70"/>
      <c r="BM298" s="70"/>
      <c r="BN298" s="70"/>
      <c r="BO298" s="77"/>
      <c r="BP298" s="70"/>
      <c r="BQ298" s="70"/>
      <c r="BR298" s="70"/>
      <c r="BS298" s="70"/>
      <c r="BT298" s="77"/>
      <c r="BU298" s="70"/>
      <c r="BV298" s="70"/>
      <c r="BW298" s="70"/>
      <c r="BX298" s="70"/>
      <c r="BY298" s="77"/>
      <c r="BZ298" s="70"/>
      <c r="CA298" s="70"/>
      <c r="CB298" s="70"/>
      <c r="CC298" s="70"/>
      <c r="CD298" s="77"/>
      <c r="CE298" s="70"/>
      <c r="CF298" s="70"/>
      <c r="CG298" s="70"/>
      <c r="CH298" s="70"/>
      <c r="CI298" s="181">
        <f t="shared" ref="CI298:CI300" si="724">AA298+AF298+AK298</f>
        <v>0</v>
      </c>
      <c r="CJ298" s="180">
        <f t="shared" ref="CJ298:CJ300" si="725">AB298+AG298+AL298</f>
        <v>0</v>
      </c>
      <c r="CK298" s="180">
        <f t="shared" ref="CK298:CK300" si="726">AC298+AH298+AM298</f>
        <v>0</v>
      </c>
      <c r="CL298" s="180">
        <f t="shared" ref="CL298:CL300" si="727">AD298+AI298+AN298</f>
        <v>0</v>
      </c>
      <c r="CM298" s="180">
        <f t="shared" ref="CM298:CM300" si="728">AE298+AJ298+AO298</f>
        <v>0</v>
      </c>
      <c r="CN298" s="181">
        <f t="shared" si="723"/>
        <v>0</v>
      </c>
      <c r="CO298" s="180">
        <f t="shared" si="723"/>
        <v>0</v>
      </c>
      <c r="CP298" s="180">
        <f t="shared" si="723"/>
        <v>0</v>
      </c>
      <c r="CQ298" s="180">
        <f t="shared" si="723"/>
        <v>0</v>
      </c>
      <c r="CR298" s="180">
        <f t="shared" si="723"/>
        <v>0</v>
      </c>
      <c r="CS298" s="273">
        <f t="shared" ref="CS298:CS300" si="729">CN298-CO298-CP298-CQ298-CR298</f>
        <v>0</v>
      </c>
      <c r="CT298" s="14"/>
    </row>
    <row r="299" spans="1:195" s="4" customFormat="1" ht="240" x14ac:dyDescent="0.3">
      <c r="A299" s="504" t="s">
        <v>615</v>
      </c>
      <c r="B299" s="498" t="s">
        <v>616</v>
      </c>
      <c r="C299" s="506" t="s">
        <v>617</v>
      </c>
      <c r="D299" s="476" t="s">
        <v>468</v>
      </c>
      <c r="E299" s="476" t="s">
        <v>618</v>
      </c>
      <c r="F299" s="500" t="s">
        <v>1170</v>
      </c>
      <c r="G299" s="476" t="s">
        <v>619</v>
      </c>
      <c r="H299" s="527"/>
      <c r="I299" s="476"/>
      <c r="J299" s="76">
        <v>8850</v>
      </c>
      <c r="K299" s="513" t="s">
        <v>140</v>
      </c>
      <c r="L299" s="76"/>
      <c r="M299" s="667"/>
      <c r="N299" s="573" t="s">
        <v>1550</v>
      </c>
      <c r="O299" s="620"/>
      <c r="P299" s="573"/>
      <c r="Q299" s="476"/>
      <c r="R299" s="476"/>
      <c r="S299" s="476"/>
      <c r="T299" s="476"/>
      <c r="U299" s="476"/>
      <c r="V299" s="476"/>
      <c r="W299" s="476"/>
      <c r="X299" s="476"/>
      <c r="Y299" s="476"/>
      <c r="Z299" s="476"/>
      <c r="AA299" s="70"/>
      <c r="AB299" s="70"/>
      <c r="AC299" s="70"/>
      <c r="AD299" s="70"/>
      <c r="AE299" s="70"/>
      <c r="AF299" s="70"/>
      <c r="AG299" s="70"/>
      <c r="AH299" s="70"/>
      <c r="AI299" s="70"/>
      <c r="AJ299" s="70"/>
      <c r="AK299" s="70"/>
      <c r="AL299" s="70"/>
      <c r="AM299" s="70"/>
      <c r="AN299" s="70"/>
      <c r="AO299" s="70"/>
      <c r="AP299" s="77"/>
      <c r="AQ299" s="70"/>
      <c r="AR299" s="70"/>
      <c r="AS299" s="70"/>
      <c r="AT299" s="70"/>
      <c r="AU299" s="77"/>
      <c r="AV299" s="70"/>
      <c r="AW299" s="70"/>
      <c r="AX299" s="70"/>
      <c r="AY299" s="70"/>
      <c r="AZ299" s="77"/>
      <c r="BA299" s="70"/>
      <c r="BB299" s="70"/>
      <c r="BC299" s="70"/>
      <c r="BD299" s="70"/>
      <c r="BE299" s="77"/>
      <c r="BF299" s="70"/>
      <c r="BG299" s="70"/>
      <c r="BH299" s="70"/>
      <c r="BI299" s="70"/>
      <c r="BJ299" s="77"/>
      <c r="BK299" s="70"/>
      <c r="BL299" s="70"/>
      <c r="BM299" s="70"/>
      <c r="BN299" s="70"/>
      <c r="BO299" s="77"/>
      <c r="BP299" s="70"/>
      <c r="BQ299" s="70"/>
      <c r="BR299" s="70"/>
      <c r="BS299" s="70"/>
      <c r="BT299" s="77"/>
      <c r="BU299" s="70"/>
      <c r="BV299" s="70"/>
      <c r="BW299" s="70"/>
      <c r="BX299" s="70"/>
      <c r="BY299" s="77"/>
      <c r="BZ299" s="70"/>
      <c r="CA299" s="70"/>
      <c r="CB299" s="70"/>
      <c r="CC299" s="70"/>
      <c r="CD299" s="77"/>
      <c r="CE299" s="70"/>
      <c r="CF299" s="70"/>
      <c r="CG299" s="70"/>
      <c r="CH299" s="70"/>
      <c r="CI299" s="501">
        <f t="shared" si="724"/>
        <v>0</v>
      </c>
      <c r="CJ299" s="492">
        <f t="shared" si="725"/>
        <v>0</v>
      </c>
      <c r="CK299" s="492">
        <f t="shared" si="726"/>
        <v>0</v>
      </c>
      <c r="CL299" s="492">
        <f t="shared" si="727"/>
        <v>0</v>
      </c>
      <c r="CM299" s="492">
        <f t="shared" si="728"/>
        <v>0</v>
      </c>
      <c r="CN299" s="501">
        <f t="shared" si="723"/>
        <v>0</v>
      </c>
      <c r="CO299" s="492">
        <f t="shared" si="723"/>
        <v>0</v>
      </c>
      <c r="CP299" s="492">
        <f t="shared" si="723"/>
        <v>0</v>
      </c>
      <c r="CQ299" s="492">
        <f t="shared" si="723"/>
        <v>0</v>
      </c>
      <c r="CR299" s="492">
        <f t="shared" si="723"/>
        <v>0</v>
      </c>
      <c r="CS299" s="501">
        <f t="shared" si="729"/>
        <v>0</v>
      </c>
      <c r="CT299" s="471"/>
    </row>
    <row r="300" spans="1:195" s="5" customFormat="1" ht="168" x14ac:dyDescent="0.3">
      <c r="A300" s="190" t="s">
        <v>620</v>
      </c>
      <c r="B300" s="182" t="s">
        <v>621</v>
      </c>
      <c r="C300" s="188" t="s">
        <v>837</v>
      </c>
      <c r="D300" s="193" t="s">
        <v>468</v>
      </c>
      <c r="E300" s="193" t="s">
        <v>622</v>
      </c>
      <c r="F300" s="74" t="s">
        <v>1226</v>
      </c>
      <c r="G300" s="193" t="s">
        <v>117</v>
      </c>
      <c r="H300" s="527"/>
      <c r="I300" s="193" t="s">
        <v>118</v>
      </c>
      <c r="J300" s="634" t="s">
        <v>118</v>
      </c>
      <c r="K300" s="294" t="s">
        <v>118</v>
      </c>
      <c r="L300" s="634" t="s">
        <v>118</v>
      </c>
      <c r="M300" s="657" t="s">
        <v>118</v>
      </c>
      <c r="N300" s="598" t="s">
        <v>1576</v>
      </c>
      <c r="O300" s="617" t="s">
        <v>1576</v>
      </c>
      <c r="P300" s="582"/>
      <c r="Q300" s="193" t="s">
        <v>118</v>
      </c>
      <c r="R300" s="193" t="s">
        <v>118</v>
      </c>
      <c r="S300" s="193" t="s">
        <v>118</v>
      </c>
      <c r="T300" s="193" t="s">
        <v>118</v>
      </c>
      <c r="U300" s="193" t="s">
        <v>118</v>
      </c>
      <c r="V300" s="193" t="s">
        <v>118</v>
      </c>
      <c r="W300" s="193" t="s">
        <v>118</v>
      </c>
      <c r="X300" s="193" t="s">
        <v>118</v>
      </c>
      <c r="Y300" s="193" t="s">
        <v>118</v>
      </c>
      <c r="Z300" s="193" t="s">
        <v>118</v>
      </c>
      <c r="AA300" s="165">
        <f>SUM(AB300:AE300)</f>
        <v>392419.6</v>
      </c>
      <c r="AB300" s="164"/>
      <c r="AC300" s="164"/>
      <c r="AD300" s="164"/>
      <c r="AE300" s="180">
        <v>392419.6</v>
      </c>
      <c r="AF300" s="165">
        <f>SUM(AG300:AJ300)</f>
        <v>392419.6</v>
      </c>
      <c r="AG300" s="164"/>
      <c r="AH300" s="164"/>
      <c r="AI300" s="164"/>
      <c r="AJ300" s="180">
        <v>392419.6</v>
      </c>
      <c r="AK300" s="165">
        <f>SUM(AL300:AO300)</f>
        <v>66833.8</v>
      </c>
      <c r="AL300" s="164"/>
      <c r="AM300" s="164"/>
      <c r="AN300" s="164"/>
      <c r="AO300" s="180">
        <v>66833.8</v>
      </c>
      <c r="AP300" s="165">
        <v>66833.8</v>
      </c>
      <c r="AQ300" s="164"/>
      <c r="AR300" s="164"/>
      <c r="AS300" s="164"/>
      <c r="AT300" s="180"/>
      <c r="AU300" s="165">
        <v>66833.8</v>
      </c>
      <c r="AV300" s="202"/>
      <c r="AW300" s="202"/>
      <c r="AX300" s="202"/>
      <c r="AY300" s="202"/>
      <c r="AZ300" s="165">
        <v>66833.8</v>
      </c>
      <c r="BA300" s="202"/>
      <c r="BB300" s="202"/>
      <c r="BC300" s="202"/>
      <c r="BD300" s="202"/>
      <c r="BE300" s="165">
        <v>66833.8</v>
      </c>
      <c r="BF300" s="202"/>
      <c r="BG300" s="202"/>
      <c r="BH300" s="202"/>
      <c r="BI300" s="202"/>
      <c r="BJ300" s="165">
        <v>68333.8</v>
      </c>
      <c r="BK300" s="202"/>
      <c r="BL300" s="202"/>
      <c r="BM300" s="202"/>
      <c r="BN300" s="202"/>
      <c r="BO300" s="165">
        <v>68333.8</v>
      </c>
      <c r="BP300" s="202"/>
      <c r="BQ300" s="202"/>
      <c r="BR300" s="202"/>
      <c r="BS300" s="202"/>
      <c r="BT300" s="165">
        <v>68333.8</v>
      </c>
      <c r="BU300" s="202"/>
      <c r="BV300" s="202"/>
      <c r="BW300" s="202"/>
      <c r="BX300" s="202"/>
      <c r="BY300" s="165">
        <v>68333.8</v>
      </c>
      <c r="BZ300" s="202"/>
      <c r="CA300" s="202"/>
      <c r="CB300" s="202"/>
      <c r="CC300" s="202"/>
      <c r="CD300" s="165">
        <v>68333.8</v>
      </c>
      <c r="CE300" s="180"/>
      <c r="CF300" s="180"/>
      <c r="CG300" s="180"/>
      <c r="CH300" s="180"/>
      <c r="CI300" s="181">
        <f t="shared" si="724"/>
        <v>851673</v>
      </c>
      <c r="CJ300" s="180">
        <f t="shared" si="725"/>
        <v>0</v>
      </c>
      <c r="CK300" s="180">
        <f t="shared" si="726"/>
        <v>0</v>
      </c>
      <c r="CL300" s="180">
        <f t="shared" si="727"/>
        <v>0</v>
      </c>
      <c r="CM300" s="180">
        <f t="shared" si="728"/>
        <v>851673</v>
      </c>
      <c r="CN300" s="181">
        <f t="shared" si="723"/>
        <v>1460677.2000000004</v>
      </c>
      <c r="CO300" s="180">
        <f t="shared" si="723"/>
        <v>0</v>
      </c>
      <c r="CP300" s="180">
        <f t="shared" si="723"/>
        <v>0</v>
      </c>
      <c r="CQ300" s="180">
        <f t="shared" si="723"/>
        <v>0</v>
      </c>
      <c r="CR300" s="180">
        <f t="shared" si="723"/>
        <v>851673</v>
      </c>
      <c r="CS300" s="273">
        <f t="shared" si="729"/>
        <v>609004.20000000042</v>
      </c>
      <c r="CT300" s="472"/>
    </row>
    <row r="301" spans="1:195" ht="29.25" customHeight="1" x14ac:dyDescent="0.3">
      <c r="A301" s="362" t="s">
        <v>623</v>
      </c>
      <c r="B301" s="813" t="s">
        <v>624</v>
      </c>
      <c r="C301" s="813"/>
      <c r="D301" s="813"/>
      <c r="E301" s="813"/>
      <c r="F301" s="813"/>
      <c r="G301" s="813"/>
      <c r="H301" s="813"/>
      <c r="I301" s="813"/>
      <c r="J301" s="813"/>
      <c r="K301" s="813"/>
      <c r="L301" s="813"/>
      <c r="M301" s="813"/>
      <c r="N301" s="813"/>
      <c r="O301" s="813"/>
      <c r="P301" s="813"/>
      <c r="Q301" s="813"/>
      <c r="R301" s="813"/>
      <c r="S301" s="813"/>
      <c r="T301" s="813"/>
      <c r="U301" s="813"/>
      <c r="V301" s="813"/>
      <c r="W301" s="813"/>
      <c r="X301" s="813"/>
      <c r="Y301" s="813"/>
      <c r="Z301" s="813"/>
      <c r="AA301" s="813"/>
      <c r="AB301" s="813"/>
      <c r="AC301" s="813"/>
      <c r="AD301" s="813"/>
      <c r="AE301" s="813"/>
      <c r="AF301" s="813"/>
      <c r="AG301" s="813"/>
      <c r="AH301" s="813"/>
      <c r="AI301" s="813"/>
      <c r="AJ301" s="813"/>
      <c r="AK301" s="813"/>
      <c r="AL301" s="813"/>
      <c r="AM301" s="813"/>
      <c r="AN301" s="813"/>
      <c r="AO301" s="813"/>
      <c r="AP301" s="813"/>
      <c r="AQ301" s="813"/>
      <c r="AR301" s="813"/>
      <c r="AS301" s="813"/>
      <c r="AT301" s="813"/>
      <c r="AU301" s="813"/>
      <c r="AV301" s="813"/>
      <c r="AW301" s="813"/>
      <c r="AX301" s="813"/>
      <c r="AY301" s="813"/>
      <c r="AZ301" s="813"/>
      <c r="BA301" s="813"/>
      <c r="BB301" s="813"/>
      <c r="BC301" s="813"/>
      <c r="BD301" s="813"/>
      <c r="BE301" s="813"/>
      <c r="BF301" s="813"/>
      <c r="BG301" s="813"/>
      <c r="BH301" s="813"/>
      <c r="BI301" s="813"/>
      <c r="BJ301" s="813"/>
      <c r="BK301" s="813"/>
      <c r="BL301" s="813"/>
      <c r="BM301" s="813"/>
      <c r="BN301" s="813"/>
      <c r="BO301" s="813"/>
      <c r="BP301" s="813"/>
      <c r="BQ301" s="813"/>
      <c r="BR301" s="813"/>
      <c r="BS301" s="813"/>
      <c r="BT301" s="813"/>
      <c r="BU301" s="813"/>
      <c r="BV301" s="813"/>
      <c r="BW301" s="813"/>
      <c r="BX301" s="813"/>
      <c r="BY301" s="813"/>
      <c r="BZ301" s="813"/>
      <c r="CA301" s="813"/>
      <c r="CB301" s="813"/>
      <c r="CC301" s="813"/>
      <c r="CD301" s="813"/>
      <c r="CE301" s="813"/>
      <c r="CF301" s="813"/>
      <c r="CG301" s="813"/>
      <c r="CH301" s="813"/>
      <c r="CI301" s="813"/>
      <c r="CJ301" s="813"/>
      <c r="CK301" s="813"/>
      <c r="CL301" s="813"/>
      <c r="CM301" s="813"/>
      <c r="CN301" s="277">
        <f>CN302</f>
        <v>70000</v>
      </c>
      <c r="CO301" s="277">
        <f t="shared" ref="CO301:CS301" si="730">CO302</f>
        <v>70000</v>
      </c>
      <c r="CP301" s="277">
        <f t="shared" si="730"/>
        <v>0</v>
      </c>
      <c r="CQ301" s="277">
        <f t="shared" si="730"/>
        <v>0</v>
      </c>
      <c r="CR301" s="277">
        <f t="shared" si="730"/>
        <v>0</v>
      </c>
      <c r="CS301" s="273">
        <f t="shared" si="730"/>
        <v>0</v>
      </c>
    </row>
    <row r="302" spans="1:195" s="4" customFormat="1" ht="192" x14ac:dyDescent="0.35">
      <c r="A302" s="190" t="s">
        <v>625</v>
      </c>
      <c r="B302" s="182" t="s">
        <v>626</v>
      </c>
      <c r="C302" s="182" t="s">
        <v>627</v>
      </c>
      <c r="D302" s="193" t="s">
        <v>959</v>
      </c>
      <c r="E302" s="193" t="s">
        <v>628</v>
      </c>
      <c r="F302" s="74" t="s">
        <v>1227</v>
      </c>
      <c r="G302" s="193" t="s">
        <v>117</v>
      </c>
      <c r="H302" s="527"/>
      <c r="I302" s="193" t="s">
        <v>118</v>
      </c>
      <c r="J302" s="634" t="s">
        <v>118</v>
      </c>
      <c r="K302" s="288" t="s">
        <v>118</v>
      </c>
      <c r="L302" s="634" t="s">
        <v>118</v>
      </c>
      <c r="M302" s="657" t="s">
        <v>118</v>
      </c>
      <c r="N302" s="597"/>
      <c r="O302" s="625"/>
      <c r="P302" s="444"/>
      <c r="Q302" s="193" t="s">
        <v>118</v>
      </c>
      <c r="R302" s="193" t="s">
        <v>118</v>
      </c>
      <c r="S302" s="193" t="s">
        <v>118</v>
      </c>
      <c r="T302" s="193" t="s">
        <v>118</v>
      </c>
      <c r="U302" s="193" t="s">
        <v>118</v>
      </c>
      <c r="V302" s="193" t="s">
        <v>118</v>
      </c>
      <c r="W302" s="193" t="s">
        <v>118</v>
      </c>
      <c r="X302" s="193" t="s">
        <v>118</v>
      </c>
      <c r="Y302" s="193" t="s">
        <v>118</v>
      </c>
      <c r="Z302" s="193" t="s">
        <v>118</v>
      </c>
      <c r="AA302" s="70"/>
      <c r="AB302" s="70"/>
      <c r="AC302" s="70"/>
      <c r="AD302" s="70"/>
      <c r="AE302" s="70"/>
      <c r="AF302" s="70"/>
      <c r="AG302" s="70"/>
      <c r="AH302" s="70"/>
      <c r="AI302" s="70"/>
      <c r="AJ302" s="70"/>
      <c r="AK302" s="70"/>
      <c r="AL302" s="70"/>
      <c r="AM302" s="70"/>
      <c r="AN302" s="70"/>
      <c r="AO302" s="70"/>
      <c r="AP302" s="77"/>
      <c r="AQ302" s="70"/>
      <c r="AR302" s="70"/>
      <c r="AS302" s="70"/>
      <c r="AT302" s="70"/>
      <c r="AU302" s="77"/>
      <c r="AV302" s="70"/>
      <c r="AW302" s="70"/>
      <c r="AX302" s="70"/>
      <c r="AY302" s="70"/>
      <c r="AZ302" s="77"/>
      <c r="BA302" s="70"/>
      <c r="BB302" s="70"/>
      <c r="BC302" s="70"/>
      <c r="BD302" s="70"/>
      <c r="BE302" s="77"/>
      <c r="BF302" s="70"/>
      <c r="BG302" s="70"/>
      <c r="BH302" s="70"/>
      <c r="BI302" s="70"/>
      <c r="BJ302" s="77"/>
      <c r="BK302" s="70"/>
      <c r="BL302" s="70"/>
      <c r="BM302" s="70"/>
      <c r="BN302" s="70"/>
      <c r="BO302" s="77"/>
      <c r="BP302" s="70"/>
      <c r="BQ302" s="70"/>
      <c r="BR302" s="70"/>
      <c r="BS302" s="70"/>
      <c r="BT302" s="77"/>
      <c r="BU302" s="70"/>
      <c r="BV302" s="70"/>
      <c r="BW302" s="70"/>
      <c r="BX302" s="70"/>
      <c r="BY302" s="77"/>
      <c r="BZ302" s="70"/>
      <c r="CA302" s="70"/>
      <c r="CB302" s="70"/>
      <c r="CC302" s="70"/>
      <c r="CD302" s="165">
        <f>CE302</f>
        <v>70000</v>
      </c>
      <c r="CE302" s="164">
        <v>70000</v>
      </c>
      <c r="CF302" s="70"/>
      <c r="CG302" s="70"/>
      <c r="CH302" s="70"/>
      <c r="CI302" s="181">
        <f t="shared" ref="CI302" si="731">AA302+AF302+AK302</f>
        <v>0</v>
      </c>
      <c r="CJ302" s="180">
        <f t="shared" ref="CJ302" si="732">AB302+AG302+AL302</f>
        <v>0</v>
      </c>
      <c r="CK302" s="180">
        <f t="shared" ref="CK302" si="733">AC302+AH302+AM302</f>
        <v>0</v>
      </c>
      <c r="CL302" s="180">
        <f t="shared" ref="CL302" si="734">AD302+AI302+AN302</f>
        <v>0</v>
      </c>
      <c r="CM302" s="180">
        <f t="shared" ref="CM302" si="735">AE302+AJ302+AO302</f>
        <v>0</v>
      </c>
      <c r="CN302" s="181">
        <f>AA302+AF302+AK302+AP302+AU302+AZ302+BE302+BJ302+BO302+BT302+BY302+CD302</f>
        <v>70000</v>
      </c>
      <c r="CO302" s="180">
        <f>AB302+AG302+AL302+AQ302+AV302+BA302+BF302+BK302+BP302+BU302+BZ302+CE302</f>
        <v>70000</v>
      </c>
      <c r="CP302" s="180">
        <f>AC302+AH302+AM302+AR302+AW302+BB302+BG302+BL302+BQ302+BV302+CA302+CF302</f>
        <v>0</v>
      </c>
      <c r="CQ302" s="180">
        <f>AD302+AI302+AN302+AS302+AX302+BC302+BH302+BM302+BR302+BW302+CB302+CG302</f>
        <v>0</v>
      </c>
      <c r="CR302" s="180">
        <f>AE302+AJ302+AO302+AT302+AY302+BD302+BI302+BN302+BS302+BX302+CC302+CH302</f>
        <v>0</v>
      </c>
      <c r="CS302" s="273">
        <f>CN302-CO302-CP302-CQ302-CR302</f>
        <v>0</v>
      </c>
      <c r="CT302" s="14"/>
    </row>
    <row r="303" spans="1:195" s="9" customFormat="1" ht="39.75" customHeight="1" x14ac:dyDescent="0.3">
      <c r="A303" s="373">
        <v>3</v>
      </c>
      <c r="B303" s="370" t="s">
        <v>629</v>
      </c>
      <c r="C303" s="371"/>
      <c r="D303" s="371"/>
      <c r="E303" s="371"/>
      <c r="F303" s="371"/>
      <c r="G303" s="371"/>
      <c r="H303" s="371"/>
      <c r="I303" s="371"/>
      <c r="J303" s="371"/>
      <c r="K303" s="371"/>
      <c r="L303" s="371"/>
      <c r="M303" s="371"/>
      <c r="N303" s="371"/>
      <c r="O303" s="371"/>
      <c r="P303" s="371"/>
      <c r="Q303" s="371"/>
      <c r="R303" s="371"/>
      <c r="S303" s="371"/>
      <c r="T303" s="371"/>
      <c r="U303" s="371"/>
      <c r="V303" s="371"/>
      <c r="W303" s="371"/>
      <c r="X303" s="371"/>
      <c r="Y303" s="371"/>
      <c r="Z303" s="372"/>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5"/>
      <c r="CN303" s="308">
        <f>CN304+CN316</f>
        <v>8656027.5720000006</v>
      </c>
      <c r="CO303" s="308">
        <f t="shared" ref="CO303:CS303" si="736">CO304+CO316</f>
        <v>148227.1</v>
      </c>
      <c r="CP303" s="308">
        <f t="shared" si="736"/>
        <v>29130.799999999999</v>
      </c>
      <c r="CQ303" s="308">
        <f t="shared" si="736"/>
        <v>543510</v>
      </c>
      <c r="CR303" s="308">
        <f t="shared" si="736"/>
        <v>7749111.6720000003</v>
      </c>
      <c r="CS303" s="304">
        <f t="shared" si="736"/>
        <v>186047.99999999994</v>
      </c>
      <c r="CT303" s="1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row>
    <row r="304" spans="1:195" s="10" customFormat="1" x14ac:dyDescent="0.3">
      <c r="A304" s="363" t="s">
        <v>630</v>
      </c>
      <c r="B304" s="848" t="s">
        <v>631</v>
      </c>
      <c r="C304" s="848"/>
      <c r="D304" s="848"/>
      <c r="E304" s="848"/>
      <c r="F304" s="848"/>
      <c r="G304" s="848"/>
      <c r="H304" s="848"/>
      <c r="I304" s="848"/>
      <c r="J304" s="848"/>
      <c r="K304" s="848"/>
      <c r="L304" s="848"/>
      <c r="M304" s="848"/>
      <c r="N304" s="848"/>
      <c r="O304" s="848"/>
      <c r="P304" s="848"/>
      <c r="Q304" s="848"/>
      <c r="R304" s="848"/>
      <c r="S304" s="848"/>
      <c r="T304" s="848"/>
      <c r="U304" s="848"/>
      <c r="V304" s="848"/>
      <c r="W304" s="848"/>
      <c r="X304" s="848"/>
      <c r="Y304" s="848"/>
      <c r="Z304" s="848"/>
      <c r="AA304" s="848"/>
      <c r="AB304" s="848"/>
      <c r="AC304" s="848"/>
      <c r="AD304" s="848"/>
      <c r="AE304" s="848"/>
      <c r="AF304" s="848"/>
      <c r="AG304" s="848"/>
      <c r="AH304" s="848"/>
      <c r="AI304" s="848"/>
      <c r="AJ304" s="848"/>
      <c r="AK304" s="848"/>
      <c r="AL304" s="848"/>
      <c r="AM304" s="848"/>
      <c r="AN304" s="848"/>
      <c r="AO304" s="848"/>
      <c r="AP304" s="848"/>
      <c r="AQ304" s="848"/>
      <c r="AR304" s="848"/>
      <c r="AS304" s="848"/>
      <c r="AT304" s="848"/>
      <c r="AU304" s="848"/>
      <c r="AV304" s="848"/>
      <c r="AW304" s="848"/>
      <c r="AX304" s="848"/>
      <c r="AY304" s="848"/>
      <c r="AZ304" s="848"/>
      <c r="BA304" s="848"/>
      <c r="BB304" s="848"/>
      <c r="BC304" s="848"/>
      <c r="BD304" s="848"/>
      <c r="BE304" s="848"/>
      <c r="BF304" s="848"/>
      <c r="BG304" s="848"/>
      <c r="BH304" s="848"/>
      <c r="BI304" s="848"/>
      <c r="BJ304" s="848"/>
      <c r="BK304" s="848"/>
      <c r="BL304" s="848"/>
      <c r="BM304" s="848"/>
      <c r="BN304" s="848"/>
      <c r="BO304" s="848"/>
      <c r="BP304" s="848"/>
      <c r="BQ304" s="848"/>
      <c r="BR304" s="848"/>
      <c r="BS304" s="848"/>
      <c r="BT304" s="848"/>
      <c r="BU304" s="848"/>
      <c r="BV304" s="848"/>
      <c r="BW304" s="848"/>
      <c r="BX304" s="848"/>
      <c r="BY304" s="848"/>
      <c r="BZ304" s="848"/>
      <c r="CA304" s="848"/>
      <c r="CB304" s="848"/>
      <c r="CC304" s="848"/>
      <c r="CD304" s="848"/>
      <c r="CE304" s="848"/>
      <c r="CF304" s="848"/>
      <c r="CG304" s="848"/>
      <c r="CH304" s="848"/>
      <c r="CI304" s="848"/>
      <c r="CJ304" s="848"/>
      <c r="CK304" s="848"/>
      <c r="CL304" s="848"/>
      <c r="CM304" s="848"/>
      <c r="CN304" s="56">
        <f>CN305+CN311+CN313</f>
        <v>0</v>
      </c>
      <c r="CO304" s="56">
        <f t="shared" ref="CO304:CS304" si="737">CO305+CO311+CO313</f>
        <v>0</v>
      </c>
      <c r="CP304" s="56">
        <f t="shared" si="737"/>
        <v>0</v>
      </c>
      <c r="CQ304" s="56">
        <f t="shared" si="737"/>
        <v>0</v>
      </c>
      <c r="CR304" s="56">
        <f t="shared" si="737"/>
        <v>0</v>
      </c>
      <c r="CS304" s="273">
        <f t="shared" si="737"/>
        <v>0</v>
      </c>
      <c r="CT304" s="1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row>
    <row r="305" spans="1:98" ht="32.25" customHeight="1" x14ac:dyDescent="0.3">
      <c r="A305" s="362" t="s">
        <v>632</v>
      </c>
      <c r="B305" s="813" t="s">
        <v>633</v>
      </c>
      <c r="C305" s="813"/>
      <c r="D305" s="813"/>
      <c r="E305" s="813"/>
      <c r="F305" s="813"/>
      <c r="G305" s="813"/>
      <c r="H305" s="813"/>
      <c r="I305" s="813"/>
      <c r="J305" s="813"/>
      <c r="K305" s="813"/>
      <c r="L305" s="813"/>
      <c r="M305" s="813"/>
      <c r="N305" s="813"/>
      <c r="O305" s="813"/>
      <c r="P305" s="813"/>
      <c r="Q305" s="813"/>
      <c r="R305" s="813"/>
      <c r="S305" s="813"/>
      <c r="T305" s="813"/>
      <c r="U305" s="813"/>
      <c r="V305" s="813"/>
      <c r="W305" s="813"/>
      <c r="X305" s="813"/>
      <c r="Y305" s="813"/>
      <c r="Z305" s="813"/>
      <c r="AA305" s="813"/>
      <c r="AB305" s="813"/>
      <c r="AC305" s="813"/>
      <c r="AD305" s="813"/>
      <c r="AE305" s="813"/>
      <c r="AF305" s="813"/>
      <c r="AG305" s="813"/>
      <c r="AH305" s="813"/>
      <c r="AI305" s="813"/>
      <c r="AJ305" s="813"/>
      <c r="AK305" s="813"/>
      <c r="AL305" s="813"/>
      <c r="AM305" s="813"/>
      <c r="AN305" s="813"/>
      <c r="AO305" s="813"/>
      <c r="AP305" s="813"/>
      <c r="AQ305" s="813"/>
      <c r="AR305" s="813"/>
      <c r="AS305" s="813"/>
      <c r="AT305" s="813"/>
      <c r="AU305" s="813"/>
      <c r="AV305" s="813"/>
      <c r="AW305" s="813"/>
      <c r="AX305" s="813"/>
      <c r="AY305" s="813"/>
      <c r="AZ305" s="813"/>
      <c r="BA305" s="813"/>
      <c r="BB305" s="813"/>
      <c r="BC305" s="813"/>
      <c r="BD305" s="813"/>
      <c r="BE305" s="813"/>
      <c r="BF305" s="813"/>
      <c r="BG305" s="813"/>
      <c r="BH305" s="813"/>
      <c r="BI305" s="813"/>
      <c r="BJ305" s="813"/>
      <c r="BK305" s="813"/>
      <c r="BL305" s="813"/>
      <c r="BM305" s="813"/>
      <c r="BN305" s="813"/>
      <c r="BO305" s="813"/>
      <c r="BP305" s="813"/>
      <c r="BQ305" s="813"/>
      <c r="BR305" s="813"/>
      <c r="BS305" s="813"/>
      <c r="BT305" s="813"/>
      <c r="BU305" s="813"/>
      <c r="BV305" s="813"/>
      <c r="BW305" s="813"/>
      <c r="BX305" s="813"/>
      <c r="BY305" s="813"/>
      <c r="BZ305" s="813"/>
      <c r="CA305" s="813"/>
      <c r="CB305" s="813"/>
      <c r="CC305" s="813"/>
      <c r="CD305" s="813"/>
      <c r="CE305" s="813"/>
      <c r="CF305" s="813"/>
      <c r="CG305" s="813"/>
      <c r="CH305" s="813"/>
      <c r="CI305" s="813"/>
      <c r="CJ305" s="813"/>
      <c r="CK305" s="813"/>
      <c r="CL305" s="813"/>
      <c r="CM305" s="813"/>
      <c r="CN305" s="277">
        <f>CN306+CN307+CN308+CN309+CN310</f>
        <v>0</v>
      </c>
      <c r="CO305" s="277">
        <f t="shared" ref="CO305:CS305" si="738">CO306+CO307+CO308+CO309+CO310</f>
        <v>0</v>
      </c>
      <c r="CP305" s="277">
        <f t="shared" si="738"/>
        <v>0</v>
      </c>
      <c r="CQ305" s="277">
        <f t="shared" si="738"/>
        <v>0</v>
      </c>
      <c r="CR305" s="277">
        <f t="shared" si="738"/>
        <v>0</v>
      </c>
      <c r="CS305" s="273">
        <f t="shared" si="738"/>
        <v>0</v>
      </c>
    </row>
    <row r="306" spans="1:98" s="4" customFormat="1" ht="72" x14ac:dyDescent="0.3">
      <c r="A306" s="412" t="s">
        <v>634</v>
      </c>
      <c r="B306" s="413" t="s">
        <v>635</v>
      </c>
      <c r="C306" s="413" t="s">
        <v>1357</v>
      </c>
      <c r="D306" s="403" t="s">
        <v>468</v>
      </c>
      <c r="E306" s="403" t="s">
        <v>636</v>
      </c>
      <c r="F306" s="421"/>
      <c r="G306" s="403"/>
      <c r="H306" s="527"/>
      <c r="I306" s="403"/>
      <c r="J306" s="634"/>
      <c r="K306" s="403"/>
      <c r="L306" s="634"/>
      <c r="M306" s="657"/>
      <c r="N306" s="598"/>
      <c r="O306" s="616" t="s">
        <v>1673</v>
      </c>
      <c r="P306" s="582"/>
      <c r="Q306" s="403"/>
      <c r="R306" s="403"/>
      <c r="S306" s="403"/>
      <c r="T306" s="403"/>
      <c r="U306" s="403"/>
      <c r="V306" s="403"/>
      <c r="W306" s="403"/>
      <c r="X306" s="403"/>
      <c r="Y306" s="403"/>
      <c r="Z306" s="403"/>
      <c r="AA306" s="70"/>
      <c r="AB306" s="70"/>
      <c r="AC306" s="70"/>
      <c r="AD306" s="70"/>
      <c r="AE306" s="70"/>
      <c r="AF306" s="70"/>
      <c r="AG306" s="70"/>
      <c r="AH306" s="70"/>
      <c r="AI306" s="70"/>
      <c r="AJ306" s="70"/>
      <c r="AK306" s="70"/>
      <c r="AL306" s="70"/>
      <c r="AM306" s="70"/>
      <c r="AN306" s="70"/>
      <c r="AO306" s="70"/>
      <c r="AP306" s="77"/>
      <c r="AQ306" s="70"/>
      <c r="AR306" s="70"/>
      <c r="AS306" s="70"/>
      <c r="AT306" s="70"/>
      <c r="AU306" s="77"/>
      <c r="AV306" s="70"/>
      <c r="AW306" s="70"/>
      <c r="AX306" s="70"/>
      <c r="AY306" s="70"/>
      <c r="AZ306" s="77"/>
      <c r="BA306" s="70"/>
      <c r="BB306" s="70"/>
      <c r="BC306" s="70"/>
      <c r="BD306" s="70"/>
      <c r="BE306" s="77"/>
      <c r="BF306" s="70"/>
      <c r="BG306" s="70"/>
      <c r="BH306" s="70"/>
      <c r="BI306" s="70"/>
      <c r="BJ306" s="77"/>
      <c r="BK306" s="70"/>
      <c r="BL306" s="70"/>
      <c r="BM306" s="70"/>
      <c r="BN306" s="70"/>
      <c r="BO306" s="77"/>
      <c r="BP306" s="70"/>
      <c r="BQ306" s="70"/>
      <c r="BR306" s="70"/>
      <c r="BS306" s="70"/>
      <c r="BT306" s="77"/>
      <c r="BU306" s="70"/>
      <c r="BV306" s="70"/>
      <c r="BW306" s="70"/>
      <c r="BX306" s="70"/>
      <c r="BY306" s="77"/>
      <c r="BZ306" s="70"/>
      <c r="CA306" s="70"/>
      <c r="CB306" s="70"/>
      <c r="CC306" s="70"/>
      <c r="CD306" s="77"/>
      <c r="CE306" s="70"/>
      <c r="CF306" s="70"/>
      <c r="CG306" s="70"/>
      <c r="CH306" s="70"/>
      <c r="CI306" s="410">
        <f t="shared" ref="CI306" si="739">AA306+AF306+AK306</f>
        <v>0</v>
      </c>
      <c r="CJ306" s="419">
        <f t="shared" ref="CJ306" si="740">AB306+AG306+AL306</f>
        <v>0</v>
      </c>
      <c r="CK306" s="419">
        <f t="shared" ref="CK306" si="741">AC306+AH306+AM306</f>
        <v>0</v>
      </c>
      <c r="CL306" s="419">
        <f t="shared" ref="CL306" si="742">AD306+AI306+AN306</f>
        <v>0</v>
      </c>
      <c r="CM306" s="419">
        <f t="shared" ref="CM306" si="743">AE306+AJ306+AO306</f>
        <v>0</v>
      </c>
      <c r="CN306" s="410">
        <f t="shared" ref="CN306:CR310" si="744">AA306+AF306+AK306+AP306+AU306+AZ306+BE306+BJ306+BO306+BT306+BY306+CD306</f>
        <v>0</v>
      </c>
      <c r="CO306" s="419">
        <f t="shared" si="744"/>
        <v>0</v>
      </c>
      <c r="CP306" s="419">
        <f t="shared" si="744"/>
        <v>0</v>
      </c>
      <c r="CQ306" s="419">
        <f t="shared" si="744"/>
        <v>0</v>
      </c>
      <c r="CR306" s="419">
        <f t="shared" si="744"/>
        <v>0</v>
      </c>
      <c r="CS306" s="410">
        <f>CN306-CO306-CP306-CQ306-CR306</f>
        <v>0</v>
      </c>
      <c r="CT306" s="14"/>
    </row>
    <row r="307" spans="1:98" s="4" customFormat="1" ht="72" x14ac:dyDescent="0.3">
      <c r="A307" s="504" t="s">
        <v>637</v>
      </c>
      <c r="B307" s="498" t="s">
        <v>638</v>
      </c>
      <c r="C307" s="498" t="s">
        <v>639</v>
      </c>
      <c r="D307" s="476" t="s">
        <v>468</v>
      </c>
      <c r="E307" s="476" t="s">
        <v>640</v>
      </c>
      <c r="F307" s="500"/>
      <c r="G307" s="476"/>
      <c r="H307" s="527"/>
      <c r="I307" s="476"/>
      <c r="J307" s="634"/>
      <c r="K307" s="476" t="s">
        <v>140</v>
      </c>
      <c r="L307" s="634"/>
      <c r="M307" s="657"/>
      <c r="N307" s="761" t="s">
        <v>1550</v>
      </c>
      <c r="O307" s="616" t="s">
        <v>1674</v>
      </c>
      <c r="P307" s="568"/>
      <c r="Q307" s="476"/>
      <c r="R307" s="476"/>
      <c r="S307" s="476"/>
      <c r="T307" s="476"/>
      <c r="U307" s="476"/>
      <c r="V307" s="476"/>
      <c r="W307" s="476"/>
      <c r="X307" s="476"/>
      <c r="Y307" s="476"/>
      <c r="Z307" s="476"/>
      <c r="AA307" s="70"/>
      <c r="AB307" s="70"/>
      <c r="AC307" s="70"/>
      <c r="AD307" s="70"/>
      <c r="AE307" s="70"/>
      <c r="AF307" s="70"/>
      <c r="AG307" s="70"/>
      <c r="AH307" s="70"/>
      <c r="AI307" s="70"/>
      <c r="AJ307" s="70"/>
      <c r="AK307" s="70"/>
      <c r="AL307" s="70"/>
      <c r="AM307" s="70"/>
      <c r="AN307" s="70"/>
      <c r="AO307" s="70"/>
      <c r="AP307" s="77"/>
      <c r="AQ307" s="70"/>
      <c r="AR307" s="70"/>
      <c r="AS307" s="70"/>
      <c r="AT307" s="70"/>
      <c r="AU307" s="77"/>
      <c r="AV307" s="70"/>
      <c r="AW307" s="70"/>
      <c r="AX307" s="70"/>
      <c r="AY307" s="70"/>
      <c r="AZ307" s="77"/>
      <c r="BA307" s="70"/>
      <c r="BB307" s="70"/>
      <c r="BC307" s="70"/>
      <c r="BD307" s="70"/>
      <c r="BE307" s="77"/>
      <c r="BF307" s="70"/>
      <c r="BG307" s="70"/>
      <c r="BH307" s="70"/>
      <c r="BI307" s="70"/>
      <c r="BJ307" s="77"/>
      <c r="BK307" s="70"/>
      <c r="BL307" s="70"/>
      <c r="BM307" s="70"/>
      <c r="BN307" s="70"/>
      <c r="BO307" s="77"/>
      <c r="BP307" s="70"/>
      <c r="BQ307" s="70"/>
      <c r="BR307" s="70"/>
      <c r="BS307" s="70"/>
      <c r="BT307" s="77"/>
      <c r="BU307" s="70"/>
      <c r="BV307" s="70"/>
      <c r="BW307" s="70"/>
      <c r="BX307" s="70"/>
      <c r="BY307" s="77"/>
      <c r="BZ307" s="70"/>
      <c r="CA307" s="70"/>
      <c r="CB307" s="70"/>
      <c r="CC307" s="70"/>
      <c r="CD307" s="77"/>
      <c r="CE307" s="70"/>
      <c r="CF307" s="70"/>
      <c r="CG307" s="70"/>
      <c r="CH307" s="70"/>
      <c r="CI307" s="501">
        <f t="shared" ref="CI307:CI310" si="745">AA307+AF307+AK307</f>
        <v>0</v>
      </c>
      <c r="CJ307" s="492">
        <f t="shared" ref="CJ307:CJ310" si="746">AB307+AG307+AL307</f>
        <v>0</v>
      </c>
      <c r="CK307" s="492">
        <f t="shared" ref="CK307:CK310" si="747">AC307+AH307+AM307</f>
        <v>0</v>
      </c>
      <c r="CL307" s="492">
        <f t="shared" ref="CL307:CL310" si="748">AD307+AI307+AN307</f>
        <v>0</v>
      </c>
      <c r="CM307" s="492">
        <f t="shared" ref="CM307:CM310" si="749">AE307+AJ307+AO307</f>
        <v>0</v>
      </c>
      <c r="CN307" s="501">
        <f t="shared" si="744"/>
        <v>0</v>
      </c>
      <c r="CO307" s="492">
        <f t="shared" si="744"/>
        <v>0</v>
      </c>
      <c r="CP307" s="492">
        <f t="shared" si="744"/>
        <v>0</v>
      </c>
      <c r="CQ307" s="492">
        <f t="shared" si="744"/>
        <v>0</v>
      </c>
      <c r="CR307" s="492">
        <f t="shared" si="744"/>
        <v>0</v>
      </c>
      <c r="CS307" s="501">
        <f t="shared" ref="CS307:CS310" si="750">CN307-CO307-CP307-CQ307-CR307</f>
        <v>0</v>
      </c>
      <c r="CT307" s="471"/>
    </row>
    <row r="308" spans="1:98" s="4" customFormat="1" ht="72" x14ac:dyDescent="0.3">
      <c r="A308" s="504" t="s">
        <v>641</v>
      </c>
      <c r="B308" s="498" t="s">
        <v>642</v>
      </c>
      <c r="C308" s="498" t="s">
        <v>643</v>
      </c>
      <c r="D308" s="476" t="s">
        <v>468</v>
      </c>
      <c r="E308" s="476" t="s">
        <v>644</v>
      </c>
      <c r="F308" s="500"/>
      <c r="G308" s="476"/>
      <c r="H308" s="527"/>
      <c r="I308" s="476"/>
      <c r="J308" s="634"/>
      <c r="K308" s="476" t="s">
        <v>140</v>
      </c>
      <c r="L308" s="634"/>
      <c r="M308" s="657"/>
      <c r="N308" s="788"/>
      <c r="O308" s="616" t="s">
        <v>1672</v>
      </c>
      <c r="P308" s="570"/>
      <c r="Q308" s="476"/>
      <c r="R308" s="476"/>
      <c r="S308" s="476"/>
      <c r="T308" s="476"/>
      <c r="U308" s="476"/>
      <c r="V308" s="476"/>
      <c r="W308" s="476"/>
      <c r="X308" s="476"/>
      <c r="Y308" s="476"/>
      <c r="Z308" s="476"/>
      <c r="AA308" s="70"/>
      <c r="AB308" s="70"/>
      <c r="AC308" s="70"/>
      <c r="AD308" s="70"/>
      <c r="AE308" s="70"/>
      <c r="AF308" s="70"/>
      <c r="AG308" s="70"/>
      <c r="AH308" s="70"/>
      <c r="AI308" s="70"/>
      <c r="AJ308" s="70"/>
      <c r="AK308" s="70"/>
      <c r="AL308" s="70"/>
      <c r="AM308" s="70"/>
      <c r="AN308" s="70"/>
      <c r="AO308" s="70"/>
      <c r="AP308" s="77"/>
      <c r="AQ308" s="70"/>
      <c r="AR308" s="70"/>
      <c r="AS308" s="70"/>
      <c r="AT308" s="70"/>
      <c r="AU308" s="77"/>
      <c r="AV308" s="70"/>
      <c r="AW308" s="70"/>
      <c r="AX308" s="70"/>
      <c r="AY308" s="70"/>
      <c r="AZ308" s="77"/>
      <c r="BA308" s="70"/>
      <c r="BB308" s="70"/>
      <c r="BC308" s="70"/>
      <c r="BD308" s="70"/>
      <c r="BE308" s="77"/>
      <c r="BF308" s="70"/>
      <c r="BG308" s="70"/>
      <c r="BH308" s="70"/>
      <c r="BI308" s="70"/>
      <c r="BJ308" s="77"/>
      <c r="BK308" s="70"/>
      <c r="BL308" s="70"/>
      <c r="BM308" s="70"/>
      <c r="BN308" s="70"/>
      <c r="BO308" s="77"/>
      <c r="BP308" s="70"/>
      <c r="BQ308" s="70"/>
      <c r="BR308" s="70"/>
      <c r="BS308" s="70"/>
      <c r="BT308" s="77"/>
      <c r="BU308" s="70"/>
      <c r="BV308" s="70"/>
      <c r="BW308" s="70"/>
      <c r="BX308" s="70"/>
      <c r="BY308" s="77"/>
      <c r="BZ308" s="70"/>
      <c r="CA308" s="70"/>
      <c r="CB308" s="70"/>
      <c r="CC308" s="70"/>
      <c r="CD308" s="77"/>
      <c r="CE308" s="70"/>
      <c r="CF308" s="70"/>
      <c r="CG308" s="70"/>
      <c r="CH308" s="70"/>
      <c r="CI308" s="501">
        <f t="shared" si="745"/>
        <v>0</v>
      </c>
      <c r="CJ308" s="492">
        <f t="shared" si="746"/>
        <v>0</v>
      </c>
      <c r="CK308" s="492">
        <f t="shared" si="747"/>
        <v>0</v>
      </c>
      <c r="CL308" s="492">
        <f t="shared" si="748"/>
        <v>0</v>
      </c>
      <c r="CM308" s="492">
        <f t="shared" si="749"/>
        <v>0</v>
      </c>
      <c r="CN308" s="501">
        <f t="shared" si="744"/>
        <v>0</v>
      </c>
      <c r="CO308" s="492">
        <f t="shared" si="744"/>
        <v>0</v>
      </c>
      <c r="CP308" s="492">
        <f t="shared" si="744"/>
        <v>0</v>
      </c>
      <c r="CQ308" s="492">
        <f t="shared" si="744"/>
        <v>0</v>
      </c>
      <c r="CR308" s="492">
        <f t="shared" si="744"/>
        <v>0</v>
      </c>
      <c r="CS308" s="501">
        <f t="shared" si="750"/>
        <v>0</v>
      </c>
      <c r="CT308" s="14"/>
    </row>
    <row r="309" spans="1:98" s="4" customFormat="1" ht="144" x14ac:dyDescent="0.3">
      <c r="A309" s="504" t="s">
        <v>645</v>
      </c>
      <c r="B309" s="498" t="s">
        <v>646</v>
      </c>
      <c r="C309" s="498" t="s">
        <v>647</v>
      </c>
      <c r="D309" s="476" t="s">
        <v>468</v>
      </c>
      <c r="E309" s="476" t="s">
        <v>648</v>
      </c>
      <c r="F309" s="500"/>
      <c r="G309" s="476"/>
      <c r="H309" s="527"/>
      <c r="I309" s="476"/>
      <c r="J309" s="634"/>
      <c r="K309" s="476" t="s">
        <v>140</v>
      </c>
      <c r="L309" s="634"/>
      <c r="M309" s="657"/>
      <c r="N309" s="788"/>
      <c r="O309" s="616" t="s">
        <v>1675</v>
      </c>
      <c r="P309" s="570"/>
      <c r="Q309" s="476"/>
      <c r="R309" s="476"/>
      <c r="S309" s="476"/>
      <c r="T309" s="476"/>
      <c r="U309" s="476"/>
      <c r="V309" s="476"/>
      <c r="W309" s="476"/>
      <c r="X309" s="476"/>
      <c r="Y309" s="476"/>
      <c r="Z309" s="476"/>
      <c r="AA309" s="70"/>
      <c r="AB309" s="70"/>
      <c r="AC309" s="70"/>
      <c r="AD309" s="70"/>
      <c r="AE309" s="70"/>
      <c r="AF309" s="70"/>
      <c r="AG309" s="70"/>
      <c r="AH309" s="70"/>
      <c r="AI309" s="70"/>
      <c r="AJ309" s="70"/>
      <c r="AK309" s="70"/>
      <c r="AL309" s="70"/>
      <c r="AM309" s="70"/>
      <c r="AN309" s="70"/>
      <c r="AO309" s="70"/>
      <c r="AP309" s="77"/>
      <c r="AQ309" s="70"/>
      <c r="AR309" s="70"/>
      <c r="AS309" s="70"/>
      <c r="AT309" s="70"/>
      <c r="AU309" s="77"/>
      <c r="AV309" s="70"/>
      <c r="AW309" s="70"/>
      <c r="AX309" s="70"/>
      <c r="AY309" s="70"/>
      <c r="AZ309" s="77"/>
      <c r="BA309" s="70"/>
      <c r="BB309" s="70"/>
      <c r="BC309" s="70"/>
      <c r="BD309" s="70"/>
      <c r="BE309" s="77"/>
      <c r="BF309" s="70"/>
      <c r="BG309" s="70"/>
      <c r="BH309" s="70"/>
      <c r="BI309" s="70"/>
      <c r="BJ309" s="77"/>
      <c r="BK309" s="70"/>
      <c r="BL309" s="70"/>
      <c r="BM309" s="70"/>
      <c r="BN309" s="70"/>
      <c r="BO309" s="77"/>
      <c r="BP309" s="70"/>
      <c r="BQ309" s="70"/>
      <c r="BR309" s="70"/>
      <c r="BS309" s="70"/>
      <c r="BT309" s="77"/>
      <c r="BU309" s="70"/>
      <c r="BV309" s="70"/>
      <c r="BW309" s="70"/>
      <c r="BX309" s="70"/>
      <c r="BY309" s="77"/>
      <c r="BZ309" s="70"/>
      <c r="CA309" s="70"/>
      <c r="CB309" s="70"/>
      <c r="CC309" s="70"/>
      <c r="CD309" s="77"/>
      <c r="CE309" s="70"/>
      <c r="CF309" s="70"/>
      <c r="CG309" s="70"/>
      <c r="CH309" s="70"/>
      <c r="CI309" s="501">
        <f t="shared" si="745"/>
        <v>0</v>
      </c>
      <c r="CJ309" s="492">
        <f t="shared" si="746"/>
        <v>0</v>
      </c>
      <c r="CK309" s="492">
        <f t="shared" si="747"/>
        <v>0</v>
      </c>
      <c r="CL309" s="492">
        <f t="shared" si="748"/>
        <v>0</v>
      </c>
      <c r="CM309" s="492">
        <f t="shared" si="749"/>
        <v>0</v>
      </c>
      <c r="CN309" s="501">
        <f t="shared" si="744"/>
        <v>0</v>
      </c>
      <c r="CO309" s="492">
        <f t="shared" si="744"/>
        <v>0</v>
      </c>
      <c r="CP309" s="492">
        <f t="shared" si="744"/>
        <v>0</v>
      </c>
      <c r="CQ309" s="492">
        <f t="shared" si="744"/>
        <v>0</v>
      </c>
      <c r="CR309" s="492">
        <f t="shared" si="744"/>
        <v>0</v>
      </c>
      <c r="CS309" s="501">
        <f t="shared" si="750"/>
        <v>0</v>
      </c>
      <c r="CT309" s="14"/>
    </row>
    <row r="310" spans="1:98" s="4" customFormat="1" ht="72" x14ac:dyDescent="0.3">
      <c r="A310" s="504" t="s">
        <v>649</v>
      </c>
      <c r="B310" s="498" t="s">
        <v>650</v>
      </c>
      <c r="C310" s="498" t="s">
        <v>651</v>
      </c>
      <c r="D310" s="476" t="s">
        <v>468</v>
      </c>
      <c r="E310" s="476" t="s">
        <v>640</v>
      </c>
      <c r="F310" s="500"/>
      <c r="G310" s="476"/>
      <c r="H310" s="527"/>
      <c r="I310" s="476"/>
      <c r="J310" s="634"/>
      <c r="K310" s="476" t="s">
        <v>140</v>
      </c>
      <c r="L310" s="634"/>
      <c r="M310" s="657"/>
      <c r="N310" s="762"/>
      <c r="O310" s="616" t="s">
        <v>1676</v>
      </c>
      <c r="P310" s="569"/>
      <c r="Q310" s="476"/>
      <c r="R310" s="476"/>
      <c r="S310" s="476"/>
      <c r="T310" s="476"/>
      <c r="U310" s="476"/>
      <c r="V310" s="476"/>
      <c r="W310" s="476"/>
      <c r="X310" s="476"/>
      <c r="Y310" s="476"/>
      <c r="Z310" s="476"/>
      <c r="AA310" s="70"/>
      <c r="AB310" s="70"/>
      <c r="AC310" s="70"/>
      <c r="AD310" s="70"/>
      <c r="AE310" s="70"/>
      <c r="AF310" s="70"/>
      <c r="AG310" s="70"/>
      <c r="AH310" s="70"/>
      <c r="AI310" s="70"/>
      <c r="AJ310" s="70"/>
      <c r="AK310" s="70"/>
      <c r="AL310" s="70"/>
      <c r="AM310" s="70"/>
      <c r="AN310" s="70"/>
      <c r="AO310" s="70"/>
      <c r="AP310" s="77"/>
      <c r="AQ310" s="70"/>
      <c r="AR310" s="70"/>
      <c r="AS310" s="70"/>
      <c r="AT310" s="70"/>
      <c r="AU310" s="77"/>
      <c r="AV310" s="70"/>
      <c r="AW310" s="70"/>
      <c r="AX310" s="70"/>
      <c r="AY310" s="70"/>
      <c r="AZ310" s="77"/>
      <c r="BA310" s="70"/>
      <c r="BB310" s="70"/>
      <c r="BC310" s="70"/>
      <c r="BD310" s="70"/>
      <c r="BE310" s="77"/>
      <c r="BF310" s="70"/>
      <c r="BG310" s="70"/>
      <c r="BH310" s="70"/>
      <c r="BI310" s="70"/>
      <c r="BJ310" s="77"/>
      <c r="BK310" s="70"/>
      <c r="BL310" s="70"/>
      <c r="BM310" s="70"/>
      <c r="BN310" s="70"/>
      <c r="BO310" s="77"/>
      <c r="BP310" s="70"/>
      <c r="BQ310" s="70"/>
      <c r="BR310" s="70"/>
      <c r="BS310" s="70"/>
      <c r="BT310" s="77"/>
      <c r="BU310" s="70"/>
      <c r="BV310" s="70"/>
      <c r="BW310" s="70"/>
      <c r="BX310" s="70"/>
      <c r="BY310" s="77"/>
      <c r="BZ310" s="70"/>
      <c r="CA310" s="70"/>
      <c r="CB310" s="70"/>
      <c r="CC310" s="70"/>
      <c r="CD310" s="77"/>
      <c r="CE310" s="70"/>
      <c r="CF310" s="70"/>
      <c r="CG310" s="70"/>
      <c r="CH310" s="70"/>
      <c r="CI310" s="501">
        <f t="shared" si="745"/>
        <v>0</v>
      </c>
      <c r="CJ310" s="492">
        <f t="shared" si="746"/>
        <v>0</v>
      </c>
      <c r="CK310" s="492">
        <f t="shared" si="747"/>
        <v>0</v>
      </c>
      <c r="CL310" s="492">
        <f t="shared" si="748"/>
        <v>0</v>
      </c>
      <c r="CM310" s="492">
        <f t="shared" si="749"/>
        <v>0</v>
      </c>
      <c r="CN310" s="501">
        <f t="shared" si="744"/>
        <v>0</v>
      </c>
      <c r="CO310" s="492">
        <f t="shared" si="744"/>
        <v>0</v>
      </c>
      <c r="CP310" s="492">
        <f t="shared" si="744"/>
        <v>0</v>
      </c>
      <c r="CQ310" s="492">
        <f t="shared" si="744"/>
        <v>0</v>
      </c>
      <c r="CR310" s="492">
        <f t="shared" si="744"/>
        <v>0</v>
      </c>
      <c r="CS310" s="501">
        <f t="shared" si="750"/>
        <v>0</v>
      </c>
      <c r="CT310" s="14"/>
    </row>
    <row r="311" spans="1:98" x14ac:dyDescent="0.3">
      <c r="A311" s="362" t="s">
        <v>652</v>
      </c>
      <c r="B311" s="813" t="s">
        <v>653</v>
      </c>
      <c r="C311" s="813"/>
      <c r="D311" s="813"/>
      <c r="E311" s="813"/>
      <c r="F311" s="813"/>
      <c r="G311" s="813"/>
      <c r="H311" s="813"/>
      <c r="I311" s="813"/>
      <c r="J311" s="813"/>
      <c r="K311" s="813"/>
      <c r="L311" s="813"/>
      <c r="M311" s="813"/>
      <c r="N311" s="813"/>
      <c r="O311" s="813"/>
      <c r="P311" s="813"/>
      <c r="Q311" s="813"/>
      <c r="R311" s="813"/>
      <c r="S311" s="813"/>
      <c r="T311" s="813"/>
      <c r="U311" s="813"/>
      <c r="V311" s="813"/>
      <c r="W311" s="813"/>
      <c r="X311" s="813"/>
      <c r="Y311" s="813"/>
      <c r="Z311" s="813"/>
      <c r="AA311" s="813"/>
      <c r="AB311" s="813"/>
      <c r="AC311" s="813"/>
      <c r="AD311" s="813"/>
      <c r="AE311" s="813"/>
      <c r="AF311" s="813"/>
      <c r="AG311" s="813"/>
      <c r="AH311" s="813"/>
      <c r="AI311" s="813"/>
      <c r="AJ311" s="813"/>
      <c r="AK311" s="813"/>
      <c r="AL311" s="813"/>
      <c r="AM311" s="813"/>
      <c r="AN311" s="813"/>
      <c r="AO311" s="813"/>
      <c r="AP311" s="813"/>
      <c r="AQ311" s="813"/>
      <c r="AR311" s="813"/>
      <c r="AS311" s="813"/>
      <c r="AT311" s="813"/>
      <c r="AU311" s="813"/>
      <c r="AV311" s="813"/>
      <c r="AW311" s="813"/>
      <c r="AX311" s="813"/>
      <c r="AY311" s="813"/>
      <c r="AZ311" s="813"/>
      <c r="BA311" s="813"/>
      <c r="BB311" s="813"/>
      <c r="BC311" s="813"/>
      <c r="BD311" s="813"/>
      <c r="BE311" s="813"/>
      <c r="BF311" s="813"/>
      <c r="BG311" s="813"/>
      <c r="BH311" s="813"/>
      <c r="BI311" s="813"/>
      <c r="BJ311" s="813"/>
      <c r="BK311" s="813"/>
      <c r="BL311" s="813"/>
      <c r="BM311" s="813"/>
      <c r="BN311" s="813"/>
      <c r="BO311" s="813"/>
      <c r="BP311" s="813"/>
      <c r="BQ311" s="813"/>
      <c r="BR311" s="813"/>
      <c r="BS311" s="813"/>
      <c r="BT311" s="813"/>
      <c r="BU311" s="813"/>
      <c r="BV311" s="813"/>
      <c r="BW311" s="813"/>
      <c r="BX311" s="813"/>
      <c r="BY311" s="813"/>
      <c r="BZ311" s="813"/>
      <c r="CA311" s="813"/>
      <c r="CB311" s="813"/>
      <c r="CC311" s="813"/>
      <c r="CD311" s="813"/>
      <c r="CE311" s="813"/>
      <c r="CF311" s="813"/>
      <c r="CG311" s="813"/>
      <c r="CH311" s="813"/>
      <c r="CI311" s="813"/>
      <c r="CJ311" s="813"/>
      <c r="CK311" s="813"/>
      <c r="CL311" s="813"/>
      <c r="CM311" s="813"/>
      <c r="CN311" s="277">
        <f>CN312</f>
        <v>0</v>
      </c>
      <c r="CO311" s="277">
        <f t="shared" ref="CO311:CS311" si="751">CO312</f>
        <v>0</v>
      </c>
      <c r="CP311" s="277">
        <f t="shared" si="751"/>
        <v>0</v>
      </c>
      <c r="CQ311" s="277">
        <f t="shared" si="751"/>
        <v>0</v>
      </c>
      <c r="CR311" s="277">
        <f t="shared" si="751"/>
        <v>0</v>
      </c>
      <c r="CS311" s="273">
        <f t="shared" si="751"/>
        <v>0</v>
      </c>
    </row>
    <row r="312" spans="1:98" s="4" customFormat="1" ht="168" x14ac:dyDescent="0.3">
      <c r="A312" s="412" t="s">
        <v>1237</v>
      </c>
      <c r="B312" s="413" t="s">
        <v>1234</v>
      </c>
      <c r="C312" s="413" t="s">
        <v>1235</v>
      </c>
      <c r="D312" s="564" t="s">
        <v>468</v>
      </c>
      <c r="E312" s="413" t="s">
        <v>1236</v>
      </c>
      <c r="F312" s="413"/>
      <c r="G312" s="413"/>
      <c r="H312" s="531"/>
      <c r="I312" s="413"/>
      <c r="J312" s="636"/>
      <c r="K312" s="413"/>
      <c r="L312" s="636"/>
      <c r="M312" s="668"/>
      <c r="N312" s="598"/>
      <c r="O312" s="617"/>
      <c r="P312" s="582"/>
      <c r="Q312" s="413"/>
      <c r="R312" s="413"/>
      <c r="S312" s="413"/>
      <c r="T312" s="413"/>
      <c r="U312" s="413"/>
      <c r="V312" s="413"/>
      <c r="W312" s="413"/>
      <c r="X312" s="413"/>
      <c r="Y312" s="413"/>
      <c r="Z312" s="413"/>
      <c r="AA312" s="413"/>
      <c r="AB312" s="413"/>
      <c r="AC312" s="413"/>
      <c r="AD312" s="413"/>
      <c r="AE312" s="413"/>
      <c r="AF312" s="413"/>
      <c r="AG312" s="413"/>
      <c r="AH312" s="413"/>
      <c r="AI312" s="413"/>
      <c r="AJ312" s="413"/>
      <c r="AK312" s="413"/>
      <c r="AL312" s="413"/>
      <c r="AM312" s="413"/>
      <c r="AN312" s="413"/>
      <c r="AO312" s="413"/>
      <c r="AP312" s="137"/>
      <c r="AQ312" s="413"/>
      <c r="AR312" s="413"/>
      <c r="AS312" s="413"/>
      <c r="AT312" s="413"/>
      <c r="AU312" s="137"/>
      <c r="AV312" s="413"/>
      <c r="AW312" s="413"/>
      <c r="AX312" s="413"/>
      <c r="AY312" s="413"/>
      <c r="AZ312" s="137"/>
      <c r="BA312" s="413"/>
      <c r="BB312" s="413"/>
      <c r="BC312" s="413"/>
      <c r="BD312" s="413"/>
      <c r="BE312" s="137"/>
      <c r="BF312" s="413"/>
      <c r="BG312" s="413"/>
      <c r="BH312" s="413"/>
      <c r="BI312" s="413"/>
      <c r="BJ312" s="137"/>
      <c r="BK312" s="413"/>
      <c r="BL312" s="413"/>
      <c r="BM312" s="413"/>
      <c r="BN312" s="413"/>
      <c r="BO312" s="137"/>
      <c r="BP312" s="413"/>
      <c r="BQ312" s="413"/>
      <c r="BR312" s="413"/>
      <c r="BS312" s="413"/>
      <c r="BT312" s="137"/>
      <c r="BU312" s="413"/>
      <c r="BV312" s="413"/>
      <c r="BW312" s="413"/>
      <c r="BX312" s="413"/>
      <c r="BY312" s="137"/>
      <c r="BZ312" s="413"/>
      <c r="CA312" s="413"/>
      <c r="CB312" s="413"/>
      <c r="CC312" s="413"/>
      <c r="CD312" s="137"/>
      <c r="CE312" s="413"/>
      <c r="CF312" s="413"/>
      <c r="CG312" s="413"/>
      <c r="CH312" s="413"/>
      <c r="CI312" s="410">
        <f t="shared" ref="CI312" si="752">AA312+AF312+AK312</f>
        <v>0</v>
      </c>
      <c r="CJ312" s="419">
        <f t="shared" ref="CJ312" si="753">AB312+AG312+AL312</f>
        <v>0</v>
      </c>
      <c r="CK312" s="419">
        <f t="shared" ref="CK312" si="754">AC312+AH312+AM312</f>
        <v>0</v>
      </c>
      <c r="CL312" s="419">
        <f t="shared" ref="CL312" si="755">AD312+AI312+AN312</f>
        <v>0</v>
      </c>
      <c r="CM312" s="419">
        <f t="shared" ref="CM312" si="756">AE312+AJ312+AO312</f>
        <v>0</v>
      </c>
      <c r="CN312" s="410">
        <f t="shared" ref="CN312" si="757">AA312+AF312+AK312+AP312+AU312+AZ312+BE312+BJ312+BO312+BT312+BY312+CD312</f>
        <v>0</v>
      </c>
      <c r="CO312" s="419">
        <f t="shared" ref="CO312" si="758">AB312+AG312+AL312+AQ312+AV312+BA312+BF312+BK312+BP312+BU312+BZ312+CE312</f>
        <v>0</v>
      </c>
      <c r="CP312" s="419">
        <f t="shared" ref="CP312" si="759">AC312+AH312+AM312+AR312+AW312+BB312+BG312+BL312+BQ312+BV312+CA312+CF312</f>
        <v>0</v>
      </c>
      <c r="CQ312" s="419">
        <f t="shared" ref="CQ312" si="760">AD312+AI312+AN312+AS312+AX312+BC312+BH312+BM312+BR312+BW312+CB312+CG312</f>
        <v>0</v>
      </c>
      <c r="CR312" s="419">
        <f t="shared" ref="CR312" si="761">AE312+AJ312+AO312+AT312+AY312+BD312+BI312+BN312+BS312+BX312+CC312+CH312</f>
        <v>0</v>
      </c>
      <c r="CS312" s="410">
        <f t="shared" ref="CS312" si="762">CN312-CO312-CP312-CQ312-CR312</f>
        <v>0</v>
      </c>
      <c r="CT312" s="14"/>
    </row>
    <row r="313" spans="1:98" x14ac:dyDescent="0.3">
      <c r="A313" s="362" t="s">
        <v>654</v>
      </c>
      <c r="B313" s="813" t="s">
        <v>655</v>
      </c>
      <c r="C313" s="813"/>
      <c r="D313" s="813"/>
      <c r="E313" s="813"/>
      <c r="F313" s="813"/>
      <c r="G313" s="813"/>
      <c r="H313" s="813"/>
      <c r="I313" s="813"/>
      <c r="J313" s="813"/>
      <c r="K313" s="813"/>
      <c r="L313" s="813"/>
      <c r="M313" s="813"/>
      <c r="N313" s="813"/>
      <c r="O313" s="813"/>
      <c r="P313" s="813"/>
      <c r="Q313" s="813"/>
      <c r="R313" s="813"/>
      <c r="S313" s="813"/>
      <c r="T313" s="813"/>
      <c r="U313" s="813"/>
      <c r="V313" s="813"/>
      <c r="W313" s="813"/>
      <c r="X313" s="813"/>
      <c r="Y313" s="813"/>
      <c r="Z313" s="813"/>
      <c r="AA313" s="813"/>
      <c r="AB313" s="813"/>
      <c r="AC313" s="813"/>
      <c r="AD313" s="813"/>
      <c r="AE313" s="813"/>
      <c r="AF313" s="813"/>
      <c r="AG313" s="813"/>
      <c r="AH313" s="813"/>
      <c r="AI313" s="813"/>
      <c r="AJ313" s="813"/>
      <c r="AK313" s="813"/>
      <c r="AL313" s="813"/>
      <c r="AM313" s="813"/>
      <c r="AN313" s="813"/>
      <c r="AO313" s="813"/>
      <c r="AP313" s="813"/>
      <c r="AQ313" s="813"/>
      <c r="AR313" s="813"/>
      <c r="AS313" s="813"/>
      <c r="AT313" s="813"/>
      <c r="AU313" s="813"/>
      <c r="AV313" s="813"/>
      <c r="AW313" s="813"/>
      <c r="AX313" s="813"/>
      <c r="AY313" s="813"/>
      <c r="AZ313" s="813"/>
      <c r="BA313" s="813"/>
      <c r="BB313" s="813"/>
      <c r="BC313" s="813"/>
      <c r="BD313" s="813"/>
      <c r="BE313" s="813"/>
      <c r="BF313" s="813"/>
      <c r="BG313" s="813"/>
      <c r="BH313" s="813"/>
      <c r="BI313" s="813"/>
      <c r="BJ313" s="813"/>
      <c r="BK313" s="813"/>
      <c r="BL313" s="813"/>
      <c r="BM313" s="813"/>
      <c r="BN313" s="813"/>
      <c r="BO313" s="813"/>
      <c r="BP313" s="813"/>
      <c r="BQ313" s="813"/>
      <c r="BR313" s="813"/>
      <c r="BS313" s="813"/>
      <c r="BT313" s="813"/>
      <c r="BU313" s="813"/>
      <c r="BV313" s="813"/>
      <c r="BW313" s="813"/>
      <c r="BX313" s="813"/>
      <c r="BY313" s="813"/>
      <c r="BZ313" s="813"/>
      <c r="CA313" s="813"/>
      <c r="CB313" s="813"/>
      <c r="CC313" s="813"/>
      <c r="CD313" s="813"/>
      <c r="CE313" s="813"/>
      <c r="CF313" s="813"/>
      <c r="CG313" s="813"/>
      <c r="CH313" s="813"/>
      <c r="CI313" s="813"/>
      <c r="CJ313" s="813"/>
      <c r="CK313" s="813"/>
      <c r="CL313" s="813"/>
      <c r="CM313" s="813"/>
      <c r="CN313" s="277">
        <f>CN314+CN315</f>
        <v>0</v>
      </c>
      <c r="CO313" s="277">
        <f t="shared" ref="CO313:CS313" si="763">CO314+CO315</f>
        <v>0</v>
      </c>
      <c r="CP313" s="277">
        <f t="shared" si="763"/>
        <v>0</v>
      </c>
      <c r="CQ313" s="277">
        <f t="shared" si="763"/>
        <v>0</v>
      </c>
      <c r="CR313" s="277">
        <f t="shared" si="763"/>
        <v>0</v>
      </c>
      <c r="CS313" s="273">
        <f t="shared" si="763"/>
        <v>0</v>
      </c>
    </row>
    <row r="314" spans="1:98" s="4" customFormat="1" ht="264" x14ac:dyDescent="0.3">
      <c r="A314" s="504" t="s">
        <v>656</v>
      </c>
      <c r="B314" s="498" t="s">
        <v>657</v>
      </c>
      <c r="C314" s="498" t="s">
        <v>836</v>
      </c>
      <c r="D314" s="476" t="s">
        <v>1222</v>
      </c>
      <c r="E314" s="476" t="s">
        <v>658</v>
      </c>
      <c r="F314" s="500"/>
      <c r="G314" s="476"/>
      <c r="H314" s="527"/>
      <c r="I314" s="476"/>
      <c r="J314" s="634"/>
      <c r="K314" s="476" t="s">
        <v>140</v>
      </c>
      <c r="L314" s="634"/>
      <c r="M314" s="657" t="s">
        <v>118</v>
      </c>
      <c r="N314" s="598" t="s">
        <v>1550</v>
      </c>
      <c r="O314" s="617" t="s">
        <v>1677</v>
      </c>
      <c r="P314" s="582"/>
      <c r="Q314" s="476"/>
      <c r="R314" s="476"/>
      <c r="S314" s="476"/>
      <c r="T314" s="476"/>
      <c r="U314" s="476"/>
      <c r="V314" s="476"/>
      <c r="W314" s="476"/>
      <c r="X314" s="476"/>
      <c r="Y314" s="476"/>
      <c r="Z314" s="476"/>
      <c r="AA314" s="70"/>
      <c r="AB314" s="70"/>
      <c r="AC314" s="70"/>
      <c r="AD314" s="70"/>
      <c r="AE314" s="70"/>
      <c r="AF314" s="70"/>
      <c r="AG314" s="70"/>
      <c r="AH314" s="70"/>
      <c r="AI314" s="70"/>
      <c r="AJ314" s="70"/>
      <c r="AK314" s="70"/>
      <c r="AL314" s="70"/>
      <c r="AM314" s="70"/>
      <c r="AN314" s="70"/>
      <c r="AO314" s="70"/>
      <c r="AP314" s="77"/>
      <c r="AQ314" s="70"/>
      <c r="AR314" s="70"/>
      <c r="AS314" s="70"/>
      <c r="AT314" s="70"/>
      <c r="AU314" s="77"/>
      <c r="AV314" s="70"/>
      <c r="AW314" s="70"/>
      <c r="AX314" s="70"/>
      <c r="AY314" s="70"/>
      <c r="AZ314" s="77"/>
      <c r="BA314" s="70"/>
      <c r="BB314" s="70"/>
      <c r="BC314" s="70"/>
      <c r="BD314" s="70"/>
      <c r="BE314" s="77"/>
      <c r="BF314" s="70"/>
      <c r="BG314" s="70"/>
      <c r="BH314" s="70"/>
      <c r="BI314" s="70"/>
      <c r="BJ314" s="77"/>
      <c r="BK314" s="70"/>
      <c r="BL314" s="70"/>
      <c r="BM314" s="70"/>
      <c r="BN314" s="70"/>
      <c r="BO314" s="77"/>
      <c r="BP314" s="70"/>
      <c r="BQ314" s="70"/>
      <c r="BR314" s="70"/>
      <c r="BS314" s="70"/>
      <c r="BT314" s="77"/>
      <c r="BU314" s="70"/>
      <c r="BV314" s="70"/>
      <c r="BW314" s="70"/>
      <c r="BX314" s="70"/>
      <c r="BY314" s="77"/>
      <c r="BZ314" s="70"/>
      <c r="CA314" s="70"/>
      <c r="CB314" s="70"/>
      <c r="CC314" s="70"/>
      <c r="CD314" s="77"/>
      <c r="CE314" s="70"/>
      <c r="CF314" s="70"/>
      <c r="CG314" s="70"/>
      <c r="CH314" s="70"/>
      <c r="CI314" s="501">
        <f t="shared" ref="CI314" si="764">AA314+AF314+AK314</f>
        <v>0</v>
      </c>
      <c r="CJ314" s="492">
        <f t="shared" ref="CJ314" si="765">AB314+AG314+AL314</f>
        <v>0</v>
      </c>
      <c r="CK314" s="492">
        <f t="shared" ref="CK314" si="766">AC314+AH314+AM314</f>
        <v>0</v>
      </c>
      <c r="CL314" s="492">
        <f t="shared" ref="CL314" si="767">AD314+AI314+AN314</f>
        <v>0</v>
      </c>
      <c r="CM314" s="492">
        <f t="shared" ref="CM314" si="768">AE314+AJ314+AO314</f>
        <v>0</v>
      </c>
      <c r="CN314" s="501">
        <f t="shared" ref="CN314:CR315" si="769">AA314+AF314+AK314+AP314+AU314+AZ314+BE314+BJ314+BO314+BT314+BY314+CD314</f>
        <v>0</v>
      </c>
      <c r="CO314" s="492">
        <f t="shared" si="769"/>
        <v>0</v>
      </c>
      <c r="CP314" s="492">
        <f t="shared" si="769"/>
        <v>0</v>
      </c>
      <c r="CQ314" s="492">
        <f t="shared" si="769"/>
        <v>0</v>
      </c>
      <c r="CR314" s="492">
        <f t="shared" si="769"/>
        <v>0</v>
      </c>
      <c r="CS314" s="501">
        <f>CN314-CO314-CP314-CQ314-CR314</f>
        <v>0</v>
      </c>
      <c r="CT314" s="471"/>
    </row>
    <row r="315" spans="1:98" s="4" customFormat="1" ht="336" x14ac:dyDescent="0.3">
      <c r="A315" s="504" t="s">
        <v>659</v>
      </c>
      <c r="B315" s="498" t="s">
        <v>660</v>
      </c>
      <c r="C315" s="498" t="s">
        <v>661</v>
      </c>
      <c r="D315" s="476" t="s">
        <v>468</v>
      </c>
      <c r="E315" s="476" t="s">
        <v>662</v>
      </c>
      <c r="F315" s="500"/>
      <c r="G315" s="476"/>
      <c r="H315" s="527"/>
      <c r="I315" s="476"/>
      <c r="J315" s="634"/>
      <c r="K315" s="476" t="s">
        <v>140</v>
      </c>
      <c r="L315" s="634"/>
      <c r="M315" s="657" t="s">
        <v>140</v>
      </c>
      <c r="N315" s="598" t="s">
        <v>1550</v>
      </c>
      <c r="O315" s="699"/>
      <c r="P315" s="582"/>
      <c r="Q315" s="476"/>
      <c r="R315" s="476"/>
      <c r="S315" s="476"/>
      <c r="T315" s="476"/>
      <c r="U315" s="476"/>
      <c r="V315" s="476"/>
      <c r="W315" s="476"/>
      <c r="X315" s="476"/>
      <c r="Y315" s="476"/>
      <c r="Z315" s="476"/>
      <c r="AA315" s="70"/>
      <c r="AB315" s="70"/>
      <c r="AC315" s="70"/>
      <c r="AD315" s="70"/>
      <c r="AE315" s="70"/>
      <c r="AF315" s="70"/>
      <c r="AG315" s="70"/>
      <c r="AH315" s="70"/>
      <c r="AI315" s="70"/>
      <c r="AJ315" s="70"/>
      <c r="AK315" s="70"/>
      <c r="AL315" s="70"/>
      <c r="AM315" s="70"/>
      <c r="AN315" s="70"/>
      <c r="AO315" s="70"/>
      <c r="AP315" s="77"/>
      <c r="AQ315" s="70"/>
      <c r="AR315" s="70"/>
      <c r="AS315" s="70"/>
      <c r="AT315" s="70"/>
      <c r="AU315" s="77"/>
      <c r="AV315" s="70"/>
      <c r="AW315" s="70"/>
      <c r="AX315" s="70"/>
      <c r="AY315" s="70"/>
      <c r="AZ315" s="77"/>
      <c r="BA315" s="70"/>
      <c r="BB315" s="70"/>
      <c r="BC315" s="70"/>
      <c r="BD315" s="70"/>
      <c r="BE315" s="77"/>
      <c r="BF315" s="70"/>
      <c r="BG315" s="70"/>
      <c r="BH315" s="70"/>
      <c r="BI315" s="70"/>
      <c r="BJ315" s="77"/>
      <c r="BK315" s="70"/>
      <c r="BL315" s="70"/>
      <c r="BM315" s="70"/>
      <c r="BN315" s="70"/>
      <c r="BO315" s="77"/>
      <c r="BP315" s="70"/>
      <c r="BQ315" s="70"/>
      <c r="BR315" s="70"/>
      <c r="BS315" s="70"/>
      <c r="BT315" s="77"/>
      <c r="BU315" s="70"/>
      <c r="BV315" s="70"/>
      <c r="BW315" s="70"/>
      <c r="BX315" s="70"/>
      <c r="BY315" s="77"/>
      <c r="BZ315" s="70"/>
      <c r="CA315" s="70"/>
      <c r="CB315" s="70"/>
      <c r="CC315" s="70"/>
      <c r="CD315" s="77"/>
      <c r="CE315" s="70"/>
      <c r="CF315" s="70"/>
      <c r="CG315" s="70"/>
      <c r="CH315" s="70"/>
      <c r="CI315" s="501">
        <f t="shared" ref="CI315" si="770">AA315+AF315+AK315</f>
        <v>0</v>
      </c>
      <c r="CJ315" s="492">
        <f t="shared" ref="CJ315" si="771">AB315+AG315+AL315</f>
        <v>0</v>
      </c>
      <c r="CK315" s="492">
        <f t="shared" ref="CK315" si="772">AC315+AH315+AM315</f>
        <v>0</v>
      </c>
      <c r="CL315" s="492">
        <f t="shared" ref="CL315" si="773">AD315+AI315+AN315</f>
        <v>0</v>
      </c>
      <c r="CM315" s="492">
        <f t="shared" ref="CM315" si="774">AE315+AJ315+AO315</f>
        <v>0</v>
      </c>
      <c r="CN315" s="501">
        <f t="shared" si="769"/>
        <v>0</v>
      </c>
      <c r="CO315" s="492">
        <f t="shared" si="769"/>
        <v>0</v>
      </c>
      <c r="CP315" s="492">
        <f t="shared" si="769"/>
        <v>0</v>
      </c>
      <c r="CQ315" s="492">
        <f t="shared" si="769"/>
        <v>0</v>
      </c>
      <c r="CR315" s="492">
        <f t="shared" si="769"/>
        <v>0</v>
      </c>
      <c r="CS315" s="501">
        <f>CN315-CO315-CP315-CQ315-CR315</f>
        <v>0</v>
      </c>
      <c r="CT315" s="471"/>
    </row>
    <row r="316" spans="1:98" x14ac:dyDescent="0.3">
      <c r="A316" s="363" t="s">
        <v>663</v>
      </c>
      <c r="B316" s="848" t="s">
        <v>664</v>
      </c>
      <c r="C316" s="848"/>
      <c r="D316" s="848"/>
      <c r="E316" s="848"/>
      <c r="F316" s="848"/>
      <c r="G316" s="848"/>
      <c r="H316" s="848"/>
      <c r="I316" s="848"/>
      <c r="J316" s="848"/>
      <c r="K316" s="848"/>
      <c r="L316" s="848"/>
      <c r="M316" s="848"/>
      <c r="N316" s="848"/>
      <c r="O316" s="848"/>
      <c r="P316" s="848"/>
      <c r="Q316" s="848"/>
      <c r="R316" s="848"/>
      <c r="S316" s="848"/>
      <c r="T316" s="848"/>
      <c r="U316" s="848"/>
      <c r="V316" s="848"/>
      <c r="W316" s="848"/>
      <c r="X316" s="848"/>
      <c r="Y316" s="848"/>
      <c r="Z316" s="848"/>
      <c r="AA316" s="848"/>
      <c r="AB316" s="848"/>
      <c r="AC316" s="848"/>
      <c r="AD316" s="848"/>
      <c r="AE316" s="848"/>
      <c r="AF316" s="848"/>
      <c r="AG316" s="848"/>
      <c r="AH316" s="848"/>
      <c r="AI316" s="848"/>
      <c r="AJ316" s="848"/>
      <c r="AK316" s="848"/>
      <c r="AL316" s="848"/>
      <c r="AM316" s="848"/>
      <c r="AN316" s="848"/>
      <c r="AO316" s="848"/>
      <c r="AP316" s="848"/>
      <c r="AQ316" s="848"/>
      <c r="AR316" s="848"/>
      <c r="AS316" s="848"/>
      <c r="AT316" s="848"/>
      <c r="AU316" s="848"/>
      <c r="AV316" s="848"/>
      <c r="AW316" s="848"/>
      <c r="AX316" s="848"/>
      <c r="AY316" s="848"/>
      <c r="AZ316" s="848"/>
      <c r="BA316" s="848"/>
      <c r="BB316" s="848"/>
      <c r="BC316" s="848"/>
      <c r="BD316" s="848"/>
      <c r="BE316" s="848"/>
      <c r="BF316" s="848"/>
      <c r="BG316" s="848"/>
      <c r="BH316" s="848"/>
      <c r="BI316" s="848"/>
      <c r="BJ316" s="848"/>
      <c r="BK316" s="848"/>
      <c r="BL316" s="848"/>
      <c r="BM316" s="848"/>
      <c r="BN316" s="848"/>
      <c r="BO316" s="848"/>
      <c r="BP316" s="848"/>
      <c r="BQ316" s="848"/>
      <c r="BR316" s="848"/>
      <c r="BS316" s="848"/>
      <c r="BT316" s="848"/>
      <c r="BU316" s="848"/>
      <c r="BV316" s="848"/>
      <c r="BW316" s="848"/>
      <c r="BX316" s="848"/>
      <c r="BY316" s="848"/>
      <c r="BZ316" s="848"/>
      <c r="CA316" s="848"/>
      <c r="CB316" s="848"/>
      <c r="CC316" s="848"/>
      <c r="CD316" s="848"/>
      <c r="CE316" s="848"/>
      <c r="CF316" s="848"/>
      <c r="CG316" s="848"/>
      <c r="CH316" s="848"/>
      <c r="CI316" s="848"/>
      <c r="CJ316" s="848"/>
      <c r="CK316" s="848"/>
      <c r="CL316" s="848"/>
      <c r="CM316" s="848"/>
      <c r="CN316" s="56">
        <f>CN317+CN345+CN353+CN356+CN361</f>
        <v>8656027.5720000006</v>
      </c>
      <c r="CO316" s="56">
        <f t="shared" ref="CO316:CS316" si="775">CO317+CO345+CO353+CO356+CO361</f>
        <v>148227.1</v>
      </c>
      <c r="CP316" s="56">
        <f t="shared" si="775"/>
        <v>29130.799999999999</v>
      </c>
      <c r="CQ316" s="56">
        <f t="shared" si="775"/>
        <v>543510</v>
      </c>
      <c r="CR316" s="56">
        <f t="shared" si="775"/>
        <v>7749111.6720000003</v>
      </c>
      <c r="CS316" s="273">
        <f t="shared" si="775"/>
        <v>186047.99999999994</v>
      </c>
    </row>
    <row r="317" spans="1:98" x14ac:dyDescent="0.3">
      <c r="A317" s="362" t="s">
        <v>665</v>
      </c>
      <c r="B317" s="813" t="s">
        <v>666</v>
      </c>
      <c r="C317" s="813"/>
      <c r="D317" s="813"/>
      <c r="E317" s="813"/>
      <c r="F317" s="813"/>
      <c r="G317" s="813"/>
      <c r="H317" s="813"/>
      <c r="I317" s="813"/>
      <c r="J317" s="813"/>
      <c r="K317" s="813"/>
      <c r="L317" s="813"/>
      <c r="M317" s="813"/>
      <c r="N317" s="813"/>
      <c r="O317" s="813"/>
      <c r="P317" s="813"/>
      <c r="Q317" s="813"/>
      <c r="R317" s="813"/>
      <c r="S317" s="813"/>
      <c r="T317" s="813"/>
      <c r="U317" s="813"/>
      <c r="V317" s="813"/>
      <c r="W317" s="813"/>
      <c r="X317" s="813"/>
      <c r="Y317" s="813"/>
      <c r="Z317" s="813"/>
      <c r="AA317" s="813"/>
      <c r="AB317" s="813"/>
      <c r="AC317" s="813"/>
      <c r="AD317" s="813"/>
      <c r="AE317" s="813"/>
      <c r="AF317" s="813"/>
      <c r="AG317" s="813"/>
      <c r="AH317" s="813"/>
      <c r="AI317" s="813"/>
      <c r="AJ317" s="813"/>
      <c r="AK317" s="813"/>
      <c r="AL317" s="813"/>
      <c r="AM317" s="813"/>
      <c r="AN317" s="813"/>
      <c r="AO317" s="813"/>
      <c r="AP317" s="813"/>
      <c r="AQ317" s="813"/>
      <c r="AR317" s="813"/>
      <c r="AS317" s="813"/>
      <c r="AT317" s="813"/>
      <c r="AU317" s="813"/>
      <c r="AV317" s="813"/>
      <c r="AW317" s="813"/>
      <c r="AX317" s="813"/>
      <c r="AY317" s="813"/>
      <c r="AZ317" s="813"/>
      <c r="BA317" s="813"/>
      <c r="BB317" s="813"/>
      <c r="BC317" s="813"/>
      <c r="BD317" s="813"/>
      <c r="BE317" s="813"/>
      <c r="BF317" s="813"/>
      <c r="BG317" s="813"/>
      <c r="BH317" s="813"/>
      <c r="BI317" s="813"/>
      <c r="BJ317" s="813"/>
      <c r="BK317" s="813"/>
      <c r="BL317" s="813"/>
      <c r="BM317" s="813"/>
      <c r="BN317" s="813"/>
      <c r="BO317" s="813"/>
      <c r="BP317" s="813"/>
      <c r="BQ317" s="813"/>
      <c r="BR317" s="813"/>
      <c r="BS317" s="813"/>
      <c r="BT317" s="813"/>
      <c r="BU317" s="813"/>
      <c r="BV317" s="813"/>
      <c r="BW317" s="813"/>
      <c r="BX317" s="813"/>
      <c r="BY317" s="813"/>
      <c r="BZ317" s="813"/>
      <c r="CA317" s="813"/>
      <c r="CB317" s="813"/>
      <c r="CC317" s="813"/>
      <c r="CD317" s="813"/>
      <c r="CE317" s="813"/>
      <c r="CF317" s="813"/>
      <c r="CG317" s="813"/>
      <c r="CH317" s="813"/>
      <c r="CI317" s="813"/>
      <c r="CJ317" s="813"/>
      <c r="CK317" s="813"/>
      <c r="CL317" s="813"/>
      <c r="CM317" s="813"/>
      <c r="CN317" s="277">
        <f>CN318+CN324+CN326+CN331+CN333+CN335+CN336+CN340+CN341+CN342+CN344</f>
        <v>2411680.7999999998</v>
      </c>
      <c r="CO317" s="277">
        <f t="shared" ref="CO317:CS317" si="776">CO318+CO324+CO326+CO331+CO333+CO335+CO336+CO340+CO341+CO342+CO344</f>
        <v>71160</v>
      </c>
      <c r="CP317" s="277">
        <f t="shared" si="776"/>
        <v>520.79999999999995</v>
      </c>
      <c r="CQ317" s="277">
        <f t="shared" si="776"/>
        <v>0</v>
      </c>
      <c r="CR317" s="277">
        <f t="shared" si="776"/>
        <v>2340000</v>
      </c>
      <c r="CS317" s="273">
        <f t="shared" si="776"/>
        <v>0</v>
      </c>
    </row>
    <row r="318" spans="1:98" s="4" customFormat="1" ht="120" customHeight="1" x14ac:dyDescent="0.3">
      <c r="A318" s="862" t="s">
        <v>667</v>
      </c>
      <c r="B318" s="804" t="s">
        <v>668</v>
      </c>
      <c r="C318" s="859" t="s">
        <v>1358</v>
      </c>
      <c r="D318" s="714" t="s">
        <v>669</v>
      </c>
      <c r="E318" s="714" t="s">
        <v>52</v>
      </c>
      <c r="F318" s="817" t="s">
        <v>670</v>
      </c>
      <c r="G318" s="187" t="s">
        <v>58</v>
      </c>
      <c r="H318" s="65">
        <v>320</v>
      </c>
      <c r="I318" s="65">
        <v>100</v>
      </c>
      <c r="J318" s="65">
        <v>100</v>
      </c>
      <c r="K318" s="65">
        <v>100</v>
      </c>
      <c r="L318" s="65">
        <v>100</v>
      </c>
      <c r="M318" s="642">
        <v>87.5</v>
      </c>
      <c r="N318" s="761" t="s">
        <v>1577</v>
      </c>
      <c r="O318" s="682" t="s">
        <v>1640</v>
      </c>
      <c r="P318" s="550"/>
      <c r="Q318" s="65">
        <v>100</v>
      </c>
      <c r="R318" s="65">
        <v>100</v>
      </c>
      <c r="S318" s="65">
        <v>100</v>
      </c>
      <c r="T318" s="65">
        <v>100</v>
      </c>
      <c r="U318" s="65">
        <v>100</v>
      </c>
      <c r="V318" s="65">
        <v>100</v>
      </c>
      <c r="W318" s="65">
        <v>100</v>
      </c>
      <c r="X318" s="65">
        <v>100</v>
      </c>
      <c r="Y318" s="65">
        <v>100</v>
      </c>
      <c r="Z318" s="65">
        <v>100</v>
      </c>
      <c r="AA318" s="826">
        <f>SUM(AB318:AE323)</f>
        <v>2064</v>
      </c>
      <c r="AB318" s="765">
        <v>2064</v>
      </c>
      <c r="AC318" s="765"/>
      <c r="AD318" s="765"/>
      <c r="AE318" s="765"/>
      <c r="AF318" s="826">
        <f>SUM(AG318:AJ323)</f>
        <v>2064</v>
      </c>
      <c r="AG318" s="765">
        <v>2064</v>
      </c>
      <c r="AH318" s="765"/>
      <c r="AI318" s="765"/>
      <c r="AJ318" s="765"/>
      <c r="AK318" s="826">
        <f>SUM(AL318:AO323)</f>
        <v>2064</v>
      </c>
      <c r="AL318" s="765">
        <v>2064</v>
      </c>
      <c r="AM318" s="765"/>
      <c r="AN318" s="765"/>
      <c r="AO318" s="765"/>
      <c r="AP318" s="826">
        <f>SUM(AQ318:AT323)</f>
        <v>2064</v>
      </c>
      <c r="AQ318" s="765">
        <v>2064</v>
      </c>
      <c r="AR318" s="765"/>
      <c r="AS318" s="765"/>
      <c r="AT318" s="765"/>
      <c r="AU318" s="826">
        <f>SUM(AV318:AY323)</f>
        <v>2064</v>
      </c>
      <c r="AV318" s="765">
        <v>2064</v>
      </c>
      <c r="AW318" s="765"/>
      <c r="AX318" s="765"/>
      <c r="AY318" s="765"/>
      <c r="AZ318" s="826">
        <f>SUM(BA318:BD323)</f>
        <v>2064</v>
      </c>
      <c r="BA318" s="765">
        <v>2064</v>
      </c>
      <c r="BB318" s="765"/>
      <c r="BC318" s="765"/>
      <c r="BD318" s="765"/>
      <c r="BE318" s="826">
        <f>SUM(BF318:BI323)</f>
        <v>2064</v>
      </c>
      <c r="BF318" s="765">
        <v>2064</v>
      </c>
      <c r="BG318" s="765"/>
      <c r="BH318" s="765"/>
      <c r="BI318" s="765"/>
      <c r="BJ318" s="826">
        <f>SUM(BK318:BN323)</f>
        <v>2064</v>
      </c>
      <c r="BK318" s="765">
        <v>2064</v>
      </c>
      <c r="BL318" s="765"/>
      <c r="BM318" s="765"/>
      <c r="BN318" s="765"/>
      <c r="BO318" s="826">
        <f>SUM(BP318:BS323)</f>
        <v>2064</v>
      </c>
      <c r="BP318" s="765">
        <v>2064</v>
      </c>
      <c r="BQ318" s="765"/>
      <c r="BR318" s="765"/>
      <c r="BS318" s="765"/>
      <c r="BT318" s="826">
        <f>SUM(BU318:BX323)</f>
        <v>2064</v>
      </c>
      <c r="BU318" s="765">
        <v>2064</v>
      </c>
      <c r="BV318" s="765"/>
      <c r="BW318" s="765"/>
      <c r="BX318" s="765"/>
      <c r="BY318" s="826">
        <f>SUM(BZ318:CC323)</f>
        <v>2064</v>
      </c>
      <c r="BZ318" s="765">
        <v>2064</v>
      </c>
      <c r="CA318" s="765"/>
      <c r="CB318" s="765"/>
      <c r="CC318" s="765"/>
      <c r="CD318" s="826">
        <f>SUM(CE318:CH323)</f>
        <v>2064</v>
      </c>
      <c r="CE318" s="765">
        <v>2064</v>
      </c>
      <c r="CF318" s="765"/>
      <c r="CG318" s="765"/>
      <c r="CH318" s="765"/>
      <c r="CI318" s="767">
        <f>AA318+AF318+AK318</f>
        <v>6192</v>
      </c>
      <c r="CJ318" s="765">
        <f t="shared" ref="CJ318:CM318" si="777">AB318+AG318+AL318</f>
        <v>6192</v>
      </c>
      <c r="CK318" s="765">
        <f t="shared" si="777"/>
        <v>0</v>
      </c>
      <c r="CL318" s="765">
        <f t="shared" si="777"/>
        <v>0</v>
      </c>
      <c r="CM318" s="765">
        <f t="shared" si="777"/>
        <v>0</v>
      </c>
      <c r="CN318" s="773">
        <f>AA318+AF318+AK318+AP318+AU318+AZ318+BE318+BJ318+BO318+BT318+BY318+CD318</f>
        <v>24768</v>
      </c>
      <c r="CO318" s="791">
        <f>AB318+AG318+AL318+AQ318+AV318+BA318+BF318+BK318+BP318+BU318+BZ318+CE318</f>
        <v>24768</v>
      </c>
      <c r="CP318" s="791">
        <f>AC318+AH318+AM318+AR318+AW318+BB318+BG318+BL318+BQ318+BV318+CA318+CF318</f>
        <v>0</v>
      </c>
      <c r="CQ318" s="791">
        <f>AD318+AI318+AN318+AS318+AX318+BC318+BH318+BM318+BR318+BW318+CB318+CG318</f>
        <v>0</v>
      </c>
      <c r="CR318" s="791">
        <f>AE318+AJ318+AO318+AT318+AY318+BD318+BI318+BN318+BS318+BX318+CC318+CH318</f>
        <v>0</v>
      </c>
      <c r="CS318" s="775">
        <f>CN318-CO318-CP318-CQ318-CR318</f>
        <v>0</v>
      </c>
      <c r="CT318" s="14"/>
    </row>
    <row r="319" spans="1:98" s="4" customFormat="1" ht="159" customHeight="1" x14ac:dyDescent="0.3">
      <c r="A319" s="869"/>
      <c r="B319" s="852"/>
      <c r="C319" s="860"/>
      <c r="D319" s="748"/>
      <c r="E319" s="748"/>
      <c r="F319" s="818"/>
      <c r="G319" s="187" t="s">
        <v>31</v>
      </c>
      <c r="H319" s="65">
        <v>16</v>
      </c>
      <c r="I319" s="65">
        <v>6</v>
      </c>
      <c r="J319" s="65">
        <v>6</v>
      </c>
      <c r="K319" s="65">
        <v>7</v>
      </c>
      <c r="L319" s="65">
        <v>6</v>
      </c>
      <c r="M319" s="653">
        <v>7</v>
      </c>
      <c r="N319" s="788"/>
      <c r="O319" s="671"/>
      <c r="P319" s="552"/>
      <c r="Q319" s="65">
        <v>6</v>
      </c>
      <c r="R319" s="65">
        <v>6</v>
      </c>
      <c r="S319" s="65">
        <v>6</v>
      </c>
      <c r="T319" s="65">
        <v>6</v>
      </c>
      <c r="U319" s="65">
        <v>6</v>
      </c>
      <c r="V319" s="65">
        <v>6</v>
      </c>
      <c r="W319" s="65">
        <v>6</v>
      </c>
      <c r="X319" s="65">
        <v>6</v>
      </c>
      <c r="Y319" s="65">
        <v>6</v>
      </c>
      <c r="Z319" s="65">
        <v>6</v>
      </c>
      <c r="AA319" s="842"/>
      <c r="AB319" s="769"/>
      <c r="AC319" s="769"/>
      <c r="AD319" s="769"/>
      <c r="AE319" s="769"/>
      <c r="AF319" s="842"/>
      <c r="AG319" s="769"/>
      <c r="AH319" s="769"/>
      <c r="AI319" s="769"/>
      <c r="AJ319" s="769"/>
      <c r="AK319" s="842"/>
      <c r="AL319" s="769"/>
      <c r="AM319" s="769"/>
      <c r="AN319" s="769"/>
      <c r="AO319" s="769"/>
      <c r="AP319" s="842"/>
      <c r="AQ319" s="769"/>
      <c r="AR319" s="769"/>
      <c r="AS319" s="769"/>
      <c r="AT319" s="769"/>
      <c r="AU319" s="842"/>
      <c r="AV319" s="769"/>
      <c r="AW319" s="769"/>
      <c r="AX319" s="769"/>
      <c r="AY319" s="769"/>
      <c r="AZ319" s="842"/>
      <c r="BA319" s="769"/>
      <c r="BB319" s="769"/>
      <c r="BC319" s="769"/>
      <c r="BD319" s="769"/>
      <c r="BE319" s="842"/>
      <c r="BF319" s="769"/>
      <c r="BG319" s="769"/>
      <c r="BH319" s="769"/>
      <c r="BI319" s="769"/>
      <c r="BJ319" s="842"/>
      <c r="BK319" s="769"/>
      <c r="BL319" s="769"/>
      <c r="BM319" s="769"/>
      <c r="BN319" s="769"/>
      <c r="BO319" s="842"/>
      <c r="BP319" s="769"/>
      <c r="BQ319" s="769"/>
      <c r="BR319" s="769"/>
      <c r="BS319" s="769"/>
      <c r="BT319" s="842"/>
      <c r="BU319" s="769"/>
      <c r="BV319" s="769"/>
      <c r="BW319" s="769"/>
      <c r="BX319" s="769"/>
      <c r="BY319" s="842"/>
      <c r="BZ319" s="769"/>
      <c r="CA319" s="769"/>
      <c r="CB319" s="769"/>
      <c r="CC319" s="769"/>
      <c r="CD319" s="842"/>
      <c r="CE319" s="769"/>
      <c r="CF319" s="769"/>
      <c r="CG319" s="769"/>
      <c r="CH319" s="769"/>
      <c r="CI319" s="798"/>
      <c r="CJ319" s="769"/>
      <c r="CK319" s="769"/>
      <c r="CL319" s="769"/>
      <c r="CM319" s="769"/>
      <c r="CN319" s="799"/>
      <c r="CO319" s="795"/>
      <c r="CP319" s="795"/>
      <c r="CQ319" s="795"/>
      <c r="CR319" s="795"/>
      <c r="CS319" s="823"/>
      <c r="CT319" s="14"/>
    </row>
    <row r="320" spans="1:98" s="4" customFormat="1" ht="168" x14ac:dyDescent="0.3">
      <c r="A320" s="869"/>
      <c r="B320" s="852"/>
      <c r="C320" s="860"/>
      <c r="D320" s="748"/>
      <c r="E320" s="748"/>
      <c r="F320" s="192" t="s">
        <v>671</v>
      </c>
      <c r="G320" s="187" t="s">
        <v>31</v>
      </c>
      <c r="H320" s="65">
        <v>15</v>
      </c>
      <c r="I320" s="65">
        <v>4</v>
      </c>
      <c r="J320" s="65">
        <v>4</v>
      </c>
      <c r="K320" s="65">
        <v>7</v>
      </c>
      <c r="L320" s="65">
        <v>4</v>
      </c>
      <c r="M320" s="653">
        <v>10</v>
      </c>
      <c r="N320" s="788"/>
      <c r="O320" s="671"/>
      <c r="P320" s="552"/>
      <c r="Q320" s="65">
        <v>4</v>
      </c>
      <c r="R320" s="65">
        <v>4</v>
      </c>
      <c r="S320" s="65">
        <v>4</v>
      </c>
      <c r="T320" s="65">
        <v>4</v>
      </c>
      <c r="U320" s="65">
        <v>4</v>
      </c>
      <c r="V320" s="65">
        <v>4</v>
      </c>
      <c r="W320" s="65">
        <v>4</v>
      </c>
      <c r="X320" s="65">
        <v>4</v>
      </c>
      <c r="Y320" s="65">
        <v>4</v>
      </c>
      <c r="Z320" s="65">
        <v>4</v>
      </c>
      <c r="AA320" s="842"/>
      <c r="AB320" s="769"/>
      <c r="AC320" s="769"/>
      <c r="AD320" s="769"/>
      <c r="AE320" s="769"/>
      <c r="AF320" s="842"/>
      <c r="AG320" s="769"/>
      <c r="AH320" s="769"/>
      <c r="AI320" s="769"/>
      <c r="AJ320" s="769"/>
      <c r="AK320" s="842"/>
      <c r="AL320" s="769"/>
      <c r="AM320" s="769"/>
      <c r="AN320" s="769"/>
      <c r="AO320" s="769"/>
      <c r="AP320" s="842"/>
      <c r="AQ320" s="769"/>
      <c r="AR320" s="769"/>
      <c r="AS320" s="769"/>
      <c r="AT320" s="769"/>
      <c r="AU320" s="842"/>
      <c r="AV320" s="769"/>
      <c r="AW320" s="769"/>
      <c r="AX320" s="769"/>
      <c r="AY320" s="769"/>
      <c r="AZ320" s="842"/>
      <c r="BA320" s="769"/>
      <c r="BB320" s="769"/>
      <c r="BC320" s="769"/>
      <c r="BD320" s="769"/>
      <c r="BE320" s="842"/>
      <c r="BF320" s="769"/>
      <c r="BG320" s="769"/>
      <c r="BH320" s="769"/>
      <c r="BI320" s="769"/>
      <c r="BJ320" s="842"/>
      <c r="BK320" s="769"/>
      <c r="BL320" s="769"/>
      <c r="BM320" s="769"/>
      <c r="BN320" s="769"/>
      <c r="BO320" s="842"/>
      <c r="BP320" s="769"/>
      <c r="BQ320" s="769"/>
      <c r="BR320" s="769"/>
      <c r="BS320" s="769"/>
      <c r="BT320" s="842"/>
      <c r="BU320" s="769"/>
      <c r="BV320" s="769"/>
      <c r="BW320" s="769"/>
      <c r="BX320" s="769"/>
      <c r="BY320" s="842"/>
      <c r="BZ320" s="769"/>
      <c r="CA320" s="769"/>
      <c r="CB320" s="769"/>
      <c r="CC320" s="769"/>
      <c r="CD320" s="842"/>
      <c r="CE320" s="769"/>
      <c r="CF320" s="769"/>
      <c r="CG320" s="769"/>
      <c r="CH320" s="769"/>
      <c r="CI320" s="798"/>
      <c r="CJ320" s="769"/>
      <c r="CK320" s="769"/>
      <c r="CL320" s="769"/>
      <c r="CM320" s="769"/>
      <c r="CN320" s="799"/>
      <c r="CO320" s="795"/>
      <c r="CP320" s="795"/>
      <c r="CQ320" s="795"/>
      <c r="CR320" s="795"/>
      <c r="CS320" s="823"/>
      <c r="CT320" s="14"/>
    </row>
    <row r="321" spans="1:98" s="4" customFormat="1" ht="96" x14ac:dyDescent="0.3">
      <c r="A321" s="869"/>
      <c r="B321" s="852"/>
      <c r="C321" s="860"/>
      <c r="D321" s="748"/>
      <c r="E321" s="748"/>
      <c r="F321" s="192" t="s">
        <v>672</v>
      </c>
      <c r="G321" s="187" t="s">
        <v>31</v>
      </c>
      <c r="H321" s="65">
        <v>212</v>
      </c>
      <c r="I321" s="65">
        <v>90</v>
      </c>
      <c r="J321" s="65">
        <v>90</v>
      </c>
      <c r="K321" s="65">
        <v>174</v>
      </c>
      <c r="L321" s="65">
        <v>90</v>
      </c>
      <c r="M321" s="653">
        <v>104</v>
      </c>
      <c r="N321" s="788"/>
      <c r="O321" s="671"/>
      <c r="P321" s="552"/>
      <c r="Q321" s="65">
        <v>90</v>
      </c>
      <c r="R321" s="65">
        <v>90</v>
      </c>
      <c r="S321" s="65">
        <v>90</v>
      </c>
      <c r="T321" s="65">
        <v>90</v>
      </c>
      <c r="U321" s="65">
        <v>90</v>
      </c>
      <c r="V321" s="65">
        <v>90</v>
      </c>
      <c r="W321" s="65">
        <v>90</v>
      </c>
      <c r="X321" s="65">
        <v>90</v>
      </c>
      <c r="Y321" s="65">
        <v>90</v>
      </c>
      <c r="Z321" s="65">
        <v>90</v>
      </c>
      <c r="AA321" s="842"/>
      <c r="AB321" s="769"/>
      <c r="AC321" s="769"/>
      <c r="AD321" s="769"/>
      <c r="AE321" s="769"/>
      <c r="AF321" s="842"/>
      <c r="AG321" s="769"/>
      <c r="AH321" s="769"/>
      <c r="AI321" s="769"/>
      <c r="AJ321" s="769"/>
      <c r="AK321" s="842"/>
      <c r="AL321" s="769"/>
      <c r="AM321" s="769"/>
      <c r="AN321" s="769"/>
      <c r="AO321" s="769"/>
      <c r="AP321" s="842"/>
      <c r="AQ321" s="769"/>
      <c r="AR321" s="769"/>
      <c r="AS321" s="769"/>
      <c r="AT321" s="769"/>
      <c r="AU321" s="842"/>
      <c r="AV321" s="769"/>
      <c r="AW321" s="769"/>
      <c r="AX321" s="769"/>
      <c r="AY321" s="769"/>
      <c r="AZ321" s="842"/>
      <c r="BA321" s="769"/>
      <c r="BB321" s="769"/>
      <c r="BC321" s="769"/>
      <c r="BD321" s="769"/>
      <c r="BE321" s="842"/>
      <c r="BF321" s="769"/>
      <c r="BG321" s="769"/>
      <c r="BH321" s="769"/>
      <c r="BI321" s="769"/>
      <c r="BJ321" s="842"/>
      <c r="BK321" s="769"/>
      <c r="BL321" s="769"/>
      <c r="BM321" s="769"/>
      <c r="BN321" s="769"/>
      <c r="BO321" s="842"/>
      <c r="BP321" s="769"/>
      <c r="BQ321" s="769"/>
      <c r="BR321" s="769"/>
      <c r="BS321" s="769"/>
      <c r="BT321" s="842"/>
      <c r="BU321" s="769"/>
      <c r="BV321" s="769"/>
      <c r="BW321" s="769"/>
      <c r="BX321" s="769"/>
      <c r="BY321" s="842"/>
      <c r="BZ321" s="769"/>
      <c r="CA321" s="769"/>
      <c r="CB321" s="769"/>
      <c r="CC321" s="769"/>
      <c r="CD321" s="842"/>
      <c r="CE321" s="769"/>
      <c r="CF321" s="769"/>
      <c r="CG321" s="769"/>
      <c r="CH321" s="769"/>
      <c r="CI321" s="798"/>
      <c r="CJ321" s="769"/>
      <c r="CK321" s="769"/>
      <c r="CL321" s="769"/>
      <c r="CM321" s="769"/>
      <c r="CN321" s="799"/>
      <c r="CO321" s="795"/>
      <c r="CP321" s="795"/>
      <c r="CQ321" s="795"/>
      <c r="CR321" s="795"/>
      <c r="CS321" s="823"/>
      <c r="CT321" s="14"/>
    </row>
    <row r="322" spans="1:98" s="4" customFormat="1" ht="103.5" customHeight="1" x14ac:dyDescent="0.3">
      <c r="A322" s="869"/>
      <c r="B322" s="852"/>
      <c r="C322" s="860"/>
      <c r="D322" s="748"/>
      <c r="E322" s="748"/>
      <c r="F322" s="192" t="s">
        <v>673</v>
      </c>
      <c r="G322" s="187" t="s">
        <v>674</v>
      </c>
      <c r="H322" s="139">
        <v>15</v>
      </c>
      <c r="I322" s="139">
        <v>10</v>
      </c>
      <c r="J322" s="139">
        <v>10</v>
      </c>
      <c r="K322" s="139">
        <v>37.299999999999997</v>
      </c>
      <c r="L322" s="139">
        <v>10</v>
      </c>
      <c r="M322" s="642">
        <v>113.5</v>
      </c>
      <c r="N322" s="788"/>
      <c r="O322" s="671"/>
      <c r="P322" s="552"/>
      <c r="Q322" s="139">
        <v>10</v>
      </c>
      <c r="R322" s="139">
        <v>10</v>
      </c>
      <c r="S322" s="139">
        <v>10</v>
      </c>
      <c r="T322" s="139">
        <v>10</v>
      </c>
      <c r="U322" s="139">
        <v>10</v>
      </c>
      <c r="V322" s="139">
        <v>10</v>
      </c>
      <c r="W322" s="139">
        <v>10</v>
      </c>
      <c r="X322" s="139">
        <v>10</v>
      </c>
      <c r="Y322" s="139">
        <v>10</v>
      </c>
      <c r="Z322" s="139">
        <v>10</v>
      </c>
      <c r="AA322" s="842"/>
      <c r="AB322" s="769"/>
      <c r="AC322" s="769"/>
      <c r="AD322" s="769"/>
      <c r="AE322" s="769"/>
      <c r="AF322" s="842"/>
      <c r="AG322" s="769"/>
      <c r="AH322" s="769"/>
      <c r="AI322" s="769"/>
      <c r="AJ322" s="769"/>
      <c r="AK322" s="842"/>
      <c r="AL322" s="769"/>
      <c r="AM322" s="769"/>
      <c r="AN322" s="769"/>
      <c r="AO322" s="769"/>
      <c r="AP322" s="842"/>
      <c r="AQ322" s="769"/>
      <c r="AR322" s="769"/>
      <c r="AS322" s="769"/>
      <c r="AT322" s="769"/>
      <c r="AU322" s="842"/>
      <c r="AV322" s="769"/>
      <c r="AW322" s="769"/>
      <c r="AX322" s="769"/>
      <c r="AY322" s="769"/>
      <c r="AZ322" s="842"/>
      <c r="BA322" s="769"/>
      <c r="BB322" s="769"/>
      <c r="BC322" s="769"/>
      <c r="BD322" s="769"/>
      <c r="BE322" s="842"/>
      <c r="BF322" s="769"/>
      <c r="BG322" s="769"/>
      <c r="BH322" s="769"/>
      <c r="BI322" s="769"/>
      <c r="BJ322" s="842"/>
      <c r="BK322" s="769"/>
      <c r="BL322" s="769"/>
      <c r="BM322" s="769"/>
      <c r="BN322" s="769"/>
      <c r="BO322" s="842"/>
      <c r="BP322" s="769"/>
      <c r="BQ322" s="769"/>
      <c r="BR322" s="769"/>
      <c r="BS322" s="769"/>
      <c r="BT322" s="842"/>
      <c r="BU322" s="769"/>
      <c r="BV322" s="769"/>
      <c r="BW322" s="769"/>
      <c r="BX322" s="769"/>
      <c r="BY322" s="842"/>
      <c r="BZ322" s="769"/>
      <c r="CA322" s="769"/>
      <c r="CB322" s="769"/>
      <c r="CC322" s="769"/>
      <c r="CD322" s="842"/>
      <c r="CE322" s="769"/>
      <c r="CF322" s="769"/>
      <c r="CG322" s="769"/>
      <c r="CH322" s="769"/>
      <c r="CI322" s="798"/>
      <c r="CJ322" s="769"/>
      <c r="CK322" s="769"/>
      <c r="CL322" s="769"/>
      <c r="CM322" s="769"/>
      <c r="CN322" s="799"/>
      <c r="CO322" s="795"/>
      <c r="CP322" s="795"/>
      <c r="CQ322" s="795"/>
      <c r="CR322" s="795"/>
      <c r="CS322" s="823"/>
      <c r="CT322" s="14"/>
    </row>
    <row r="323" spans="1:98" s="4" customFormat="1" ht="209.25" customHeight="1" x14ac:dyDescent="0.3">
      <c r="A323" s="863"/>
      <c r="B323" s="852"/>
      <c r="C323" s="860"/>
      <c r="D323" s="715"/>
      <c r="E323" s="715"/>
      <c r="F323" s="158" t="s">
        <v>675</v>
      </c>
      <c r="G323" s="160" t="s">
        <v>62</v>
      </c>
      <c r="H323" s="212">
        <v>100</v>
      </c>
      <c r="I323" s="212">
        <v>100</v>
      </c>
      <c r="J323" s="212">
        <v>100</v>
      </c>
      <c r="K323" s="65">
        <v>100</v>
      </c>
      <c r="L323" s="212">
        <v>100</v>
      </c>
      <c r="M323" s="653">
        <v>100</v>
      </c>
      <c r="N323" s="762"/>
      <c r="O323" s="671"/>
      <c r="P323" s="552"/>
      <c r="Q323" s="212">
        <v>100</v>
      </c>
      <c r="R323" s="212">
        <v>100</v>
      </c>
      <c r="S323" s="212">
        <v>100</v>
      </c>
      <c r="T323" s="212">
        <v>100</v>
      </c>
      <c r="U323" s="212">
        <v>100</v>
      </c>
      <c r="V323" s="212">
        <v>100</v>
      </c>
      <c r="W323" s="212">
        <v>100</v>
      </c>
      <c r="X323" s="212">
        <v>100</v>
      </c>
      <c r="Y323" s="212">
        <v>100</v>
      </c>
      <c r="Z323" s="212">
        <v>100</v>
      </c>
      <c r="AA323" s="827"/>
      <c r="AB323" s="766"/>
      <c r="AC323" s="766"/>
      <c r="AD323" s="766"/>
      <c r="AE323" s="766"/>
      <c r="AF323" s="827"/>
      <c r="AG323" s="766"/>
      <c r="AH323" s="766"/>
      <c r="AI323" s="766"/>
      <c r="AJ323" s="766"/>
      <c r="AK323" s="827"/>
      <c r="AL323" s="766"/>
      <c r="AM323" s="766"/>
      <c r="AN323" s="766"/>
      <c r="AO323" s="766"/>
      <c r="AP323" s="827"/>
      <c r="AQ323" s="766"/>
      <c r="AR323" s="766"/>
      <c r="AS323" s="766"/>
      <c r="AT323" s="766"/>
      <c r="AU323" s="827"/>
      <c r="AV323" s="766"/>
      <c r="AW323" s="766"/>
      <c r="AX323" s="766"/>
      <c r="AY323" s="766"/>
      <c r="AZ323" s="827"/>
      <c r="BA323" s="766"/>
      <c r="BB323" s="766"/>
      <c r="BC323" s="766"/>
      <c r="BD323" s="766"/>
      <c r="BE323" s="827"/>
      <c r="BF323" s="766"/>
      <c r="BG323" s="766"/>
      <c r="BH323" s="766"/>
      <c r="BI323" s="766"/>
      <c r="BJ323" s="827"/>
      <c r="BK323" s="766"/>
      <c r="BL323" s="766"/>
      <c r="BM323" s="766"/>
      <c r="BN323" s="766"/>
      <c r="BO323" s="827"/>
      <c r="BP323" s="766"/>
      <c r="BQ323" s="766"/>
      <c r="BR323" s="766"/>
      <c r="BS323" s="766"/>
      <c r="BT323" s="827"/>
      <c r="BU323" s="766"/>
      <c r="BV323" s="766"/>
      <c r="BW323" s="766"/>
      <c r="BX323" s="766"/>
      <c r="BY323" s="827"/>
      <c r="BZ323" s="766"/>
      <c r="CA323" s="766"/>
      <c r="CB323" s="766"/>
      <c r="CC323" s="766"/>
      <c r="CD323" s="827"/>
      <c r="CE323" s="766"/>
      <c r="CF323" s="766"/>
      <c r="CG323" s="766"/>
      <c r="CH323" s="766"/>
      <c r="CI323" s="768"/>
      <c r="CJ323" s="766"/>
      <c r="CK323" s="766"/>
      <c r="CL323" s="766"/>
      <c r="CM323" s="766"/>
      <c r="CN323" s="774"/>
      <c r="CO323" s="792"/>
      <c r="CP323" s="792"/>
      <c r="CQ323" s="792"/>
      <c r="CR323" s="792"/>
      <c r="CS323" s="776"/>
      <c r="CT323" s="14"/>
    </row>
    <row r="324" spans="1:98" s="4" customFormat="1" ht="112.5" customHeight="1" x14ac:dyDescent="0.3">
      <c r="A324" s="877" t="s">
        <v>676</v>
      </c>
      <c r="B324" s="864" t="s">
        <v>677</v>
      </c>
      <c r="C324" s="866" t="s">
        <v>1359</v>
      </c>
      <c r="D324" s="759" t="s">
        <v>669</v>
      </c>
      <c r="E324" s="759" t="s">
        <v>52</v>
      </c>
      <c r="F324" s="841" t="s">
        <v>678</v>
      </c>
      <c r="G324" s="187" t="s">
        <v>58</v>
      </c>
      <c r="H324" s="65">
        <v>100</v>
      </c>
      <c r="I324" s="65">
        <v>100</v>
      </c>
      <c r="J324" s="65">
        <v>100</v>
      </c>
      <c r="K324" s="65">
        <v>100</v>
      </c>
      <c r="L324" s="65">
        <v>100</v>
      </c>
      <c r="M324" s="653">
        <v>100</v>
      </c>
      <c r="N324" s="597"/>
      <c r="O324" s="617" t="s">
        <v>1641</v>
      </c>
      <c r="P324" s="444"/>
      <c r="Q324" s="65">
        <v>100</v>
      </c>
      <c r="R324" s="65">
        <v>100</v>
      </c>
      <c r="S324" s="65">
        <v>100</v>
      </c>
      <c r="T324" s="65">
        <v>100</v>
      </c>
      <c r="U324" s="65">
        <v>100</v>
      </c>
      <c r="V324" s="65">
        <v>100</v>
      </c>
      <c r="W324" s="65">
        <v>100</v>
      </c>
      <c r="X324" s="65">
        <v>100</v>
      </c>
      <c r="Y324" s="65">
        <v>100</v>
      </c>
      <c r="Z324" s="65">
        <v>100</v>
      </c>
      <c r="AA324" s="826">
        <f>SUM(AB324:AE325)</f>
        <v>35</v>
      </c>
      <c r="AB324" s="765">
        <v>35</v>
      </c>
      <c r="AC324" s="765"/>
      <c r="AD324" s="765"/>
      <c r="AE324" s="765"/>
      <c r="AF324" s="826">
        <f>SUM(AG324:AJ325)</f>
        <v>35</v>
      </c>
      <c r="AG324" s="765">
        <v>35</v>
      </c>
      <c r="AH324" s="765"/>
      <c r="AI324" s="765"/>
      <c r="AJ324" s="765"/>
      <c r="AK324" s="826">
        <f>SUM(AL324:AO325)</f>
        <v>35</v>
      </c>
      <c r="AL324" s="765">
        <v>35</v>
      </c>
      <c r="AM324" s="765"/>
      <c r="AN324" s="765"/>
      <c r="AO324" s="765"/>
      <c r="AP324" s="826">
        <f>SUM(AQ324:AT325)</f>
        <v>35</v>
      </c>
      <c r="AQ324" s="765">
        <v>35</v>
      </c>
      <c r="AR324" s="765"/>
      <c r="AS324" s="765"/>
      <c r="AT324" s="765"/>
      <c r="AU324" s="826">
        <f>SUM(AV324:AY325)</f>
        <v>35</v>
      </c>
      <c r="AV324" s="765">
        <v>35</v>
      </c>
      <c r="AW324" s="765"/>
      <c r="AX324" s="765"/>
      <c r="AY324" s="765"/>
      <c r="AZ324" s="826">
        <f>SUM(BA324:BD325)</f>
        <v>35</v>
      </c>
      <c r="BA324" s="765">
        <v>35</v>
      </c>
      <c r="BB324" s="765"/>
      <c r="BC324" s="765"/>
      <c r="BD324" s="765"/>
      <c r="BE324" s="826">
        <f>SUM(BF324:BI325)</f>
        <v>35</v>
      </c>
      <c r="BF324" s="765">
        <v>35</v>
      </c>
      <c r="BG324" s="765"/>
      <c r="BH324" s="765"/>
      <c r="BI324" s="765"/>
      <c r="BJ324" s="826">
        <f>SUM(BK324:BN325)</f>
        <v>35</v>
      </c>
      <c r="BK324" s="765">
        <v>35</v>
      </c>
      <c r="BL324" s="765"/>
      <c r="BM324" s="765"/>
      <c r="BN324" s="765"/>
      <c r="BO324" s="826">
        <f>SUM(BP324:BS325)</f>
        <v>35</v>
      </c>
      <c r="BP324" s="765">
        <v>35</v>
      </c>
      <c r="BQ324" s="765"/>
      <c r="BR324" s="765"/>
      <c r="BS324" s="765"/>
      <c r="BT324" s="826">
        <f>SUM(BU324:BX325)</f>
        <v>35</v>
      </c>
      <c r="BU324" s="765">
        <v>35</v>
      </c>
      <c r="BV324" s="765"/>
      <c r="BW324" s="765"/>
      <c r="BX324" s="765"/>
      <c r="BY324" s="826">
        <f>SUM(BZ324:CC325)</f>
        <v>35</v>
      </c>
      <c r="BZ324" s="765">
        <v>35</v>
      </c>
      <c r="CA324" s="765"/>
      <c r="CB324" s="765"/>
      <c r="CC324" s="765"/>
      <c r="CD324" s="826">
        <f>SUM(CE324:CH325)</f>
        <v>35</v>
      </c>
      <c r="CE324" s="765">
        <v>35</v>
      </c>
      <c r="CF324" s="765"/>
      <c r="CG324" s="765"/>
      <c r="CH324" s="765"/>
      <c r="CI324" s="773">
        <f t="shared" ref="CI324" si="778">AA324+AF324+AK324</f>
        <v>105</v>
      </c>
      <c r="CJ324" s="791">
        <f t="shared" ref="CJ324" si="779">AB324+AG324+AL324</f>
        <v>105</v>
      </c>
      <c r="CK324" s="791">
        <f t="shared" ref="CK324" si="780">AC324+AH324+AM324</f>
        <v>0</v>
      </c>
      <c r="CL324" s="791">
        <f t="shared" ref="CL324" si="781">AD324+AI324+AN324</f>
        <v>0</v>
      </c>
      <c r="CM324" s="791">
        <f t="shared" ref="CM324" si="782">AE324+AJ324+AO324</f>
        <v>0</v>
      </c>
      <c r="CN324" s="773">
        <f>AA324+AF324+AK324+AP324+AU324+AZ324+BE324+BJ324+BO324+BT324+BY324+CD324</f>
        <v>420</v>
      </c>
      <c r="CO324" s="791">
        <f>AB324+AG324+AL324+AQ324+AV324+BA324+BF324+BK324+BP324+BU324+BZ324+CE324</f>
        <v>420</v>
      </c>
      <c r="CP324" s="791">
        <f>AC324+AH324+AM324+AR324+AW324+BB324+BG324+BL324+BQ324+BV324+CA324+CF324</f>
        <v>0</v>
      </c>
      <c r="CQ324" s="791">
        <f>AD324+AI324+AN324+AS324+AX324+BC324+BH324+BM324+BR324+BW324+CB324+CG324</f>
        <v>0</v>
      </c>
      <c r="CR324" s="791">
        <f>AE324+AJ324+AO324+AT324+AY324+BD324+BI324+BN324+BS324+BX324+CC324+CH324</f>
        <v>0</v>
      </c>
      <c r="CS324" s="775">
        <f>CN324-CO324-CP324-CQ324-CR324</f>
        <v>0</v>
      </c>
      <c r="CT324" s="14"/>
    </row>
    <row r="325" spans="1:98" s="4" customFormat="1" ht="173.25" customHeight="1" x14ac:dyDescent="0.35">
      <c r="A325" s="877"/>
      <c r="B325" s="864"/>
      <c r="C325" s="866"/>
      <c r="D325" s="759"/>
      <c r="E325" s="759"/>
      <c r="F325" s="841"/>
      <c r="G325" s="187" t="s">
        <v>31</v>
      </c>
      <c r="H325" s="65">
        <v>231</v>
      </c>
      <c r="I325" s="65">
        <v>150</v>
      </c>
      <c r="J325" s="65">
        <v>150</v>
      </c>
      <c r="K325" s="65">
        <v>150</v>
      </c>
      <c r="L325" s="65">
        <v>150</v>
      </c>
      <c r="M325" s="653">
        <v>150</v>
      </c>
      <c r="N325" s="597"/>
      <c r="O325" s="625"/>
      <c r="P325" s="444"/>
      <c r="Q325" s="65">
        <v>150</v>
      </c>
      <c r="R325" s="65">
        <v>150</v>
      </c>
      <c r="S325" s="65">
        <v>150</v>
      </c>
      <c r="T325" s="65">
        <v>150</v>
      </c>
      <c r="U325" s="65">
        <v>150</v>
      </c>
      <c r="V325" s="65">
        <v>150</v>
      </c>
      <c r="W325" s="65">
        <v>150</v>
      </c>
      <c r="X325" s="65">
        <v>150</v>
      </c>
      <c r="Y325" s="65">
        <v>150</v>
      </c>
      <c r="Z325" s="65">
        <v>150</v>
      </c>
      <c r="AA325" s="827"/>
      <c r="AB325" s="766"/>
      <c r="AC325" s="766"/>
      <c r="AD325" s="766"/>
      <c r="AE325" s="766"/>
      <c r="AF325" s="827"/>
      <c r="AG325" s="766"/>
      <c r="AH325" s="766"/>
      <c r="AI325" s="766"/>
      <c r="AJ325" s="766"/>
      <c r="AK325" s="827"/>
      <c r="AL325" s="766"/>
      <c r="AM325" s="766"/>
      <c r="AN325" s="766"/>
      <c r="AO325" s="766"/>
      <c r="AP325" s="827"/>
      <c r="AQ325" s="766"/>
      <c r="AR325" s="766"/>
      <c r="AS325" s="766"/>
      <c r="AT325" s="766"/>
      <c r="AU325" s="827"/>
      <c r="AV325" s="766"/>
      <c r="AW325" s="766"/>
      <c r="AX325" s="766"/>
      <c r="AY325" s="766"/>
      <c r="AZ325" s="827"/>
      <c r="BA325" s="766"/>
      <c r="BB325" s="766"/>
      <c r="BC325" s="766"/>
      <c r="BD325" s="766"/>
      <c r="BE325" s="827"/>
      <c r="BF325" s="766"/>
      <c r="BG325" s="766"/>
      <c r="BH325" s="766"/>
      <c r="BI325" s="766"/>
      <c r="BJ325" s="827"/>
      <c r="BK325" s="766"/>
      <c r="BL325" s="766"/>
      <c r="BM325" s="766"/>
      <c r="BN325" s="766"/>
      <c r="BO325" s="827"/>
      <c r="BP325" s="766"/>
      <c r="BQ325" s="766"/>
      <c r="BR325" s="766"/>
      <c r="BS325" s="766"/>
      <c r="BT325" s="827"/>
      <c r="BU325" s="766"/>
      <c r="BV325" s="766"/>
      <c r="BW325" s="766"/>
      <c r="BX325" s="766"/>
      <c r="BY325" s="827"/>
      <c r="BZ325" s="766"/>
      <c r="CA325" s="766"/>
      <c r="CB325" s="766"/>
      <c r="CC325" s="766"/>
      <c r="CD325" s="827"/>
      <c r="CE325" s="766"/>
      <c r="CF325" s="766"/>
      <c r="CG325" s="766"/>
      <c r="CH325" s="766"/>
      <c r="CI325" s="774"/>
      <c r="CJ325" s="792"/>
      <c r="CK325" s="792"/>
      <c r="CL325" s="792"/>
      <c r="CM325" s="792"/>
      <c r="CN325" s="774"/>
      <c r="CO325" s="792"/>
      <c r="CP325" s="792"/>
      <c r="CQ325" s="792"/>
      <c r="CR325" s="792"/>
      <c r="CS325" s="776"/>
      <c r="CT325" s="14"/>
    </row>
    <row r="326" spans="1:98" s="4" customFormat="1" ht="78" customHeight="1" x14ac:dyDescent="0.3">
      <c r="A326" s="862" t="s">
        <v>679</v>
      </c>
      <c r="B326" s="804" t="s">
        <v>680</v>
      </c>
      <c r="C326" s="859" t="s">
        <v>1360</v>
      </c>
      <c r="D326" s="714" t="s">
        <v>669</v>
      </c>
      <c r="E326" s="714" t="s">
        <v>52</v>
      </c>
      <c r="F326" s="841" t="s">
        <v>681</v>
      </c>
      <c r="G326" s="187" t="s">
        <v>58</v>
      </c>
      <c r="H326" s="65">
        <v>109</v>
      </c>
      <c r="I326" s="65">
        <v>100</v>
      </c>
      <c r="J326" s="65">
        <v>100</v>
      </c>
      <c r="K326" s="65">
        <v>155</v>
      </c>
      <c r="L326" s="65">
        <v>100</v>
      </c>
      <c r="M326" s="642">
        <v>109.1</v>
      </c>
      <c r="N326" s="761" t="s">
        <v>1578</v>
      </c>
      <c r="O326" s="777" t="s">
        <v>1642</v>
      </c>
      <c r="P326" s="550"/>
      <c r="Q326" s="65">
        <v>100</v>
      </c>
      <c r="R326" s="65">
        <v>100</v>
      </c>
      <c r="S326" s="65">
        <v>100</v>
      </c>
      <c r="T326" s="65">
        <v>100</v>
      </c>
      <c r="U326" s="65">
        <v>100</v>
      </c>
      <c r="V326" s="65">
        <v>100</v>
      </c>
      <c r="W326" s="65">
        <v>100</v>
      </c>
      <c r="X326" s="65">
        <v>100</v>
      </c>
      <c r="Y326" s="65">
        <v>100</v>
      </c>
      <c r="Z326" s="65">
        <v>100</v>
      </c>
      <c r="AA326" s="826">
        <f>SUM(AB326:AE327)</f>
        <v>345</v>
      </c>
      <c r="AB326" s="765">
        <v>345</v>
      </c>
      <c r="AC326" s="765"/>
      <c r="AD326" s="765"/>
      <c r="AE326" s="765"/>
      <c r="AF326" s="826">
        <f>SUM(AG326:AJ327)</f>
        <v>345</v>
      </c>
      <c r="AG326" s="765">
        <v>345</v>
      </c>
      <c r="AH326" s="765"/>
      <c r="AI326" s="765"/>
      <c r="AJ326" s="765"/>
      <c r="AK326" s="826">
        <f>SUM(AL326:AO327)</f>
        <v>345</v>
      </c>
      <c r="AL326" s="765">
        <v>345</v>
      </c>
      <c r="AM326" s="765"/>
      <c r="AN326" s="765"/>
      <c r="AO326" s="765"/>
      <c r="AP326" s="826">
        <f>SUM(AQ326:AT327)</f>
        <v>345</v>
      </c>
      <c r="AQ326" s="765">
        <v>345</v>
      </c>
      <c r="AR326" s="765"/>
      <c r="AS326" s="765"/>
      <c r="AT326" s="765"/>
      <c r="AU326" s="826">
        <f>SUM(AV326:AY327)</f>
        <v>345</v>
      </c>
      <c r="AV326" s="765">
        <v>345</v>
      </c>
      <c r="AW326" s="765"/>
      <c r="AX326" s="765"/>
      <c r="AY326" s="765"/>
      <c r="AZ326" s="826">
        <f>SUM(BA326:BD327)</f>
        <v>345</v>
      </c>
      <c r="BA326" s="765">
        <v>345</v>
      </c>
      <c r="BB326" s="765"/>
      <c r="BC326" s="765"/>
      <c r="BD326" s="765"/>
      <c r="BE326" s="826">
        <f>SUM(BF326:BI327)</f>
        <v>345</v>
      </c>
      <c r="BF326" s="765">
        <v>345</v>
      </c>
      <c r="BG326" s="765"/>
      <c r="BH326" s="765"/>
      <c r="BI326" s="765"/>
      <c r="BJ326" s="826">
        <f>SUM(BK326:BN327)</f>
        <v>345</v>
      </c>
      <c r="BK326" s="765">
        <v>345</v>
      </c>
      <c r="BL326" s="765"/>
      <c r="BM326" s="765"/>
      <c r="BN326" s="765"/>
      <c r="BO326" s="826">
        <f>SUM(BP326:BS327)</f>
        <v>345</v>
      </c>
      <c r="BP326" s="765">
        <v>345</v>
      </c>
      <c r="BQ326" s="765"/>
      <c r="BR326" s="765"/>
      <c r="BS326" s="765"/>
      <c r="BT326" s="826">
        <f>SUM(BU326:BX327)</f>
        <v>345</v>
      </c>
      <c r="BU326" s="765">
        <v>345</v>
      </c>
      <c r="BV326" s="765"/>
      <c r="BW326" s="765"/>
      <c r="BX326" s="765"/>
      <c r="BY326" s="826">
        <f>SUM(BZ326:CC327)</f>
        <v>345</v>
      </c>
      <c r="BZ326" s="765">
        <v>345</v>
      </c>
      <c r="CA326" s="765"/>
      <c r="CB326" s="765"/>
      <c r="CC326" s="765"/>
      <c r="CD326" s="826">
        <f>SUM(CE326:CH327)</f>
        <v>345</v>
      </c>
      <c r="CE326" s="765">
        <v>345</v>
      </c>
      <c r="CF326" s="765"/>
      <c r="CG326" s="765"/>
      <c r="CH326" s="765"/>
      <c r="CI326" s="773">
        <f t="shared" ref="CI326" si="783">AA326+AF326+AK326</f>
        <v>1035</v>
      </c>
      <c r="CJ326" s="791">
        <f t="shared" ref="CJ326" si="784">AB326+AG326+AL326</f>
        <v>1035</v>
      </c>
      <c r="CK326" s="791">
        <f t="shared" ref="CK326" si="785">AC326+AH326+AM326</f>
        <v>0</v>
      </c>
      <c r="CL326" s="791">
        <f t="shared" ref="CL326" si="786">AD326+AI326+AN326</f>
        <v>0</v>
      </c>
      <c r="CM326" s="791">
        <f t="shared" ref="CM326" si="787">AE326+AJ326+AO326</f>
        <v>0</v>
      </c>
      <c r="CN326" s="773">
        <f>AA326+AF326+AK326+AP326+AU326+AZ326+BE326+BJ326+BO326+BT326+BY326+CD326</f>
        <v>4140</v>
      </c>
      <c r="CO326" s="791">
        <f>AB326+AG326+AL326+AQ326+AV326+BA326+BF326+BK326+BP326+BU326+BZ326+CE326</f>
        <v>4140</v>
      </c>
      <c r="CP326" s="791">
        <f>AC326+AH326+AM326+AR326+AW326+BB326+BG326+BL326+BQ326+BV326+CA326+CF326</f>
        <v>0</v>
      </c>
      <c r="CQ326" s="791">
        <f>AD326+AI326+AN326+AS326+AX326+BC326+BH326+BM326+BR326+BW326+CB326+CG326</f>
        <v>0</v>
      </c>
      <c r="CR326" s="791">
        <f>AE326+AJ326+AO326+AT326+AY326+BD326+BI326+BN326+BS326+BX326+CC326+CH326</f>
        <v>0</v>
      </c>
      <c r="CS326" s="775">
        <f>CN326-CO326-CP326-CQ326-CR326</f>
        <v>0</v>
      </c>
      <c r="CT326" s="14"/>
    </row>
    <row r="327" spans="1:98" s="4" customFormat="1" ht="62.25" customHeight="1" x14ac:dyDescent="0.3">
      <c r="A327" s="869"/>
      <c r="B327" s="852"/>
      <c r="C327" s="860"/>
      <c r="D327" s="748"/>
      <c r="E327" s="748"/>
      <c r="F327" s="841"/>
      <c r="G327" s="187" t="s">
        <v>74</v>
      </c>
      <c r="H327" s="65">
        <v>50</v>
      </c>
      <c r="I327" s="65">
        <v>55</v>
      </c>
      <c r="J327" s="65">
        <v>55</v>
      </c>
      <c r="K327" s="65">
        <v>85</v>
      </c>
      <c r="L327" s="65">
        <v>55</v>
      </c>
      <c r="M327" s="653">
        <v>60</v>
      </c>
      <c r="N327" s="762"/>
      <c r="O327" s="778"/>
      <c r="P327" s="551"/>
      <c r="Q327" s="65">
        <v>55</v>
      </c>
      <c r="R327" s="65">
        <v>55</v>
      </c>
      <c r="S327" s="65">
        <v>55</v>
      </c>
      <c r="T327" s="65">
        <v>55</v>
      </c>
      <c r="U327" s="65">
        <v>55</v>
      </c>
      <c r="V327" s="65">
        <v>55</v>
      </c>
      <c r="W327" s="65">
        <v>55</v>
      </c>
      <c r="X327" s="65">
        <v>55</v>
      </c>
      <c r="Y327" s="65">
        <v>55</v>
      </c>
      <c r="Z327" s="65">
        <v>55</v>
      </c>
      <c r="AA327" s="842"/>
      <c r="AB327" s="769"/>
      <c r="AC327" s="769"/>
      <c r="AD327" s="769"/>
      <c r="AE327" s="769"/>
      <c r="AF327" s="842"/>
      <c r="AG327" s="769"/>
      <c r="AH327" s="769"/>
      <c r="AI327" s="769"/>
      <c r="AJ327" s="769"/>
      <c r="AK327" s="842"/>
      <c r="AL327" s="769"/>
      <c r="AM327" s="769"/>
      <c r="AN327" s="769"/>
      <c r="AO327" s="769"/>
      <c r="AP327" s="842"/>
      <c r="AQ327" s="769"/>
      <c r="AR327" s="769"/>
      <c r="AS327" s="769"/>
      <c r="AT327" s="769"/>
      <c r="AU327" s="842"/>
      <c r="AV327" s="769"/>
      <c r="AW327" s="769"/>
      <c r="AX327" s="769"/>
      <c r="AY327" s="769"/>
      <c r="AZ327" s="842"/>
      <c r="BA327" s="769"/>
      <c r="BB327" s="769"/>
      <c r="BC327" s="769"/>
      <c r="BD327" s="769"/>
      <c r="BE327" s="842"/>
      <c r="BF327" s="769"/>
      <c r="BG327" s="769"/>
      <c r="BH327" s="769"/>
      <c r="BI327" s="769"/>
      <c r="BJ327" s="842"/>
      <c r="BK327" s="769"/>
      <c r="BL327" s="769"/>
      <c r="BM327" s="769"/>
      <c r="BN327" s="769"/>
      <c r="BO327" s="842"/>
      <c r="BP327" s="769"/>
      <c r="BQ327" s="769"/>
      <c r="BR327" s="769"/>
      <c r="BS327" s="769"/>
      <c r="BT327" s="842"/>
      <c r="BU327" s="769"/>
      <c r="BV327" s="769"/>
      <c r="BW327" s="769"/>
      <c r="BX327" s="769"/>
      <c r="BY327" s="842"/>
      <c r="BZ327" s="769"/>
      <c r="CA327" s="769"/>
      <c r="CB327" s="769"/>
      <c r="CC327" s="769"/>
      <c r="CD327" s="842"/>
      <c r="CE327" s="769"/>
      <c r="CF327" s="769"/>
      <c r="CG327" s="769"/>
      <c r="CH327" s="769"/>
      <c r="CI327" s="799"/>
      <c r="CJ327" s="795"/>
      <c r="CK327" s="795"/>
      <c r="CL327" s="795"/>
      <c r="CM327" s="795"/>
      <c r="CN327" s="799"/>
      <c r="CO327" s="795"/>
      <c r="CP327" s="795"/>
      <c r="CQ327" s="795"/>
      <c r="CR327" s="795"/>
      <c r="CS327" s="823"/>
      <c r="CT327" s="14"/>
    </row>
    <row r="328" spans="1:98" s="4" customFormat="1" ht="108.75" customHeight="1" x14ac:dyDescent="0.3">
      <c r="A328" s="869"/>
      <c r="B328" s="852"/>
      <c r="C328" s="860"/>
      <c r="D328" s="748"/>
      <c r="E328" s="748"/>
      <c r="F328" s="192" t="s">
        <v>881</v>
      </c>
      <c r="G328" s="187" t="s">
        <v>31</v>
      </c>
      <c r="H328" s="533">
        <v>382.7</v>
      </c>
      <c r="I328" s="187">
        <v>286.2</v>
      </c>
      <c r="J328" s="637">
        <v>286.2</v>
      </c>
      <c r="K328" s="289">
        <v>309.7</v>
      </c>
      <c r="L328" s="637">
        <v>286.2</v>
      </c>
      <c r="M328" s="643">
        <v>314.29000000000002</v>
      </c>
      <c r="N328" s="761" t="s">
        <v>1579</v>
      </c>
      <c r="O328" s="636"/>
      <c r="P328" s="550"/>
      <c r="Q328" s="187">
        <v>286.2</v>
      </c>
      <c r="R328" s="187">
        <v>286.2</v>
      </c>
      <c r="S328" s="187">
        <v>286.2</v>
      </c>
      <c r="T328" s="187">
        <v>286.2</v>
      </c>
      <c r="U328" s="187">
        <v>289.2</v>
      </c>
      <c r="V328" s="187">
        <v>289.2</v>
      </c>
      <c r="W328" s="187">
        <v>289.2</v>
      </c>
      <c r="X328" s="187">
        <v>289.2</v>
      </c>
      <c r="Y328" s="187">
        <v>289.2</v>
      </c>
      <c r="Z328" s="187">
        <v>292.2</v>
      </c>
      <c r="AA328" s="842"/>
      <c r="AB328" s="769"/>
      <c r="AC328" s="769"/>
      <c r="AD328" s="769"/>
      <c r="AE328" s="769"/>
      <c r="AF328" s="842"/>
      <c r="AG328" s="769"/>
      <c r="AH328" s="769"/>
      <c r="AI328" s="769"/>
      <c r="AJ328" s="769"/>
      <c r="AK328" s="842"/>
      <c r="AL328" s="769"/>
      <c r="AM328" s="769"/>
      <c r="AN328" s="769"/>
      <c r="AO328" s="769"/>
      <c r="AP328" s="842"/>
      <c r="AQ328" s="769"/>
      <c r="AR328" s="769"/>
      <c r="AS328" s="769"/>
      <c r="AT328" s="769"/>
      <c r="AU328" s="842"/>
      <c r="AV328" s="769"/>
      <c r="AW328" s="769"/>
      <c r="AX328" s="769"/>
      <c r="AY328" s="769"/>
      <c r="AZ328" s="842"/>
      <c r="BA328" s="769"/>
      <c r="BB328" s="769"/>
      <c r="BC328" s="769"/>
      <c r="BD328" s="769"/>
      <c r="BE328" s="842"/>
      <c r="BF328" s="769"/>
      <c r="BG328" s="769"/>
      <c r="BH328" s="769"/>
      <c r="BI328" s="769"/>
      <c r="BJ328" s="842"/>
      <c r="BK328" s="769"/>
      <c r="BL328" s="769"/>
      <c r="BM328" s="769"/>
      <c r="BN328" s="769"/>
      <c r="BO328" s="842"/>
      <c r="BP328" s="769"/>
      <c r="BQ328" s="769"/>
      <c r="BR328" s="769"/>
      <c r="BS328" s="769"/>
      <c r="BT328" s="842"/>
      <c r="BU328" s="769"/>
      <c r="BV328" s="769"/>
      <c r="BW328" s="769"/>
      <c r="BX328" s="769"/>
      <c r="BY328" s="842"/>
      <c r="BZ328" s="769"/>
      <c r="CA328" s="769"/>
      <c r="CB328" s="769"/>
      <c r="CC328" s="769"/>
      <c r="CD328" s="842"/>
      <c r="CE328" s="769"/>
      <c r="CF328" s="769"/>
      <c r="CG328" s="769"/>
      <c r="CH328" s="769"/>
      <c r="CI328" s="799"/>
      <c r="CJ328" s="795"/>
      <c r="CK328" s="795"/>
      <c r="CL328" s="795"/>
      <c r="CM328" s="795"/>
      <c r="CN328" s="799"/>
      <c r="CO328" s="795"/>
      <c r="CP328" s="795"/>
      <c r="CQ328" s="795"/>
      <c r="CR328" s="795"/>
      <c r="CS328" s="823"/>
      <c r="CT328" s="14"/>
    </row>
    <row r="329" spans="1:98" s="4" customFormat="1" ht="96" x14ac:dyDescent="0.3">
      <c r="A329" s="869"/>
      <c r="B329" s="852"/>
      <c r="C329" s="860"/>
      <c r="D329" s="748"/>
      <c r="E329" s="748"/>
      <c r="F329" s="192" t="s">
        <v>882</v>
      </c>
      <c r="G329" s="187" t="s">
        <v>62</v>
      </c>
      <c r="H329" s="533">
        <v>15.8</v>
      </c>
      <c r="I329" s="187">
        <v>16.739999999999998</v>
      </c>
      <c r="J329" s="637">
        <v>16.899999999999999</v>
      </c>
      <c r="K329" s="289">
        <v>17.600000000000001</v>
      </c>
      <c r="L329" s="637">
        <v>16.899999999999999</v>
      </c>
      <c r="M329" s="643">
        <v>17.489999999999998</v>
      </c>
      <c r="N329" s="788"/>
      <c r="O329" s="636"/>
      <c r="P329" s="552"/>
      <c r="Q329" s="187">
        <v>16.899999999999999</v>
      </c>
      <c r="R329" s="187">
        <v>16.899999999999999</v>
      </c>
      <c r="S329" s="187">
        <v>16.899999999999999</v>
      </c>
      <c r="T329" s="187">
        <v>16.899999999999999</v>
      </c>
      <c r="U329" s="187">
        <v>17.2</v>
      </c>
      <c r="V329" s="187">
        <v>17.2</v>
      </c>
      <c r="W329" s="187">
        <v>17.2</v>
      </c>
      <c r="X329" s="187">
        <v>17.2</v>
      </c>
      <c r="Y329" s="187">
        <v>17.2</v>
      </c>
      <c r="Z329" s="187">
        <v>17.3</v>
      </c>
      <c r="AA329" s="842"/>
      <c r="AB329" s="769"/>
      <c r="AC329" s="769"/>
      <c r="AD329" s="769"/>
      <c r="AE329" s="769"/>
      <c r="AF329" s="842"/>
      <c r="AG329" s="769"/>
      <c r="AH329" s="769"/>
      <c r="AI329" s="769"/>
      <c r="AJ329" s="769"/>
      <c r="AK329" s="842"/>
      <c r="AL329" s="769"/>
      <c r="AM329" s="769"/>
      <c r="AN329" s="769"/>
      <c r="AO329" s="769"/>
      <c r="AP329" s="842"/>
      <c r="AQ329" s="769"/>
      <c r="AR329" s="769"/>
      <c r="AS329" s="769"/>
      <c r="AT329" s="769"/>
      <c r="AU329" s="842"/>
      <c r="AV329" s="769"/>
      <c r="AW329" s="769"/>
      <c r="AX329" s="769"/>
      <c r="AY329" s="769"/>
      <c r="AZ329" s="842"/>
      <c r="BA329" s="769"/>
      <c r="BB329" s="769"/>
      <c r="BC329" s="769"/>
      <c r="BD329" s="769"/>
      <c r="BE329" s="842"/>
      <c r="BF329" s="769"/>
      <c r="BG329" s="769"/>
      <c r="BH329" s="769"/>
      <c r="BI329" s="769"/>
      <c r="BJ329" s="842"/>
      <c r="BK329" s="769"/>
      <c r="BL329" s="769"/>
      <c r="BM329" s="769"/>
      <c r="BN329" s="769"/>
      <c r="BO329" s="842"/>
      <c r="BP329" s="769"/>
      <c r="BQ329" s="769"/>
      <c r="BR329" s="769"/>
      <c r="BS329" s="769"/>
      <c r="BT329" s="842"/>
      <c r="BU329" s="769"/>
      <c r="BV329" s="769"/>
      <c r="BW329" s="769"/>
      <c r="BX329" s="769"/>
      <c r="BY329" s="842"/>
      <c r="BZ329" s="769"/>
      <c r="CA329" s="769"/>
      <c r="CB329" s="769"/>
      <c r="CC329" s="769"/>
      <c r="CD329" s="842"/>
      <c r="CE329" s="769"/>
      <c r="CF329" s="769"/>
      <c r="CG329" s="769"/>
      <c r="CH329" s="769"/>
      <c r="CI329" s="799"/>
      <c r="CJ329" s="795"/>
      <c r="CK329" s="795"/>
      <c r="CL329" s="795"/>
      <c r="CM329" s="795"/>
      <c r="CN329" s="799"/>
      <c r="CO329" s="795"/>
      <c r="CP329" s="795"/>
      <c r="CQ329" s="795"/>
      <c r="CR329" s="795"/>
      <c r="CS329" s="823"/>
      <c r="CT329" s="14"/>
    </row>
    <row r="330" spans="1:98" s="4" customFormat="1" ht="126.75" customHeight="1" x14ac:dyDescent="0.3">
      <c r="A330" s="863"/>
      <c r="B330" s="805"/>
      <c r="C330" s="861"/>
      <c r="D330" s="715"/>
      <c r="E330" s="715"/>
      <c r="F330" s="282" t="s">
        <v>883</v>
      </c>
      <c r="G330" s="283" t="s">
        <v>74</v>
      </c>
      <c r="H330" s="65">
        <v>18044</v>
      </c>
      <c r="I330" s="65">
        <v>15612</v>
      </c>
      <c r="J330" s="65">
        <v>17902</v>
      </c>
      <c r="K330" s="65">
        <v>16070</v>
      </c>
      <c r="L330" s="65">
        <v>17902</v>
      </c>
      <c r="M330" s="653">
        <v>16190</v>
      </c>
      <c r="N330" s="762"/>
      <c r="O330" s="640" t="s">
        <v>1721</v>
      </c>
      <c r="P330" s="551"/>
      <c r="Q330" s="65">
        <v>17902</v>
      </c>
      <c r="R330" s="65">
        <v>17902</v>
      </c>
      <c r="S330" s="65">
        <v>17902</v>
      </c>
      <c r="T330" s="65">
        <v>17902</v>
      </c>
      <c r="U330" s="65">
        <v>18306</v>
      </c>
      <c r="V330" s="65">
        <v>18306</v>
      </c>
      <c r="W330" s="65">
        <v>18306</v>
      </c>
      <c r="X330" s="65">
        <v>18306</v>
      </c>
      <c r="Y330" s="65">
        <v>18306</v>
      </c>
      <c r="Z330" s="65">
        <v>18596</v>
      </c>
      <c r="AA330" s="827"/>
      <c r="AB330" s="766"/>
      <c r="AC330" s="766"/>
      <c r="AD330" s="766"/>
      <c r="AE330" s="766"/>
      <c r="AF330" s="827"/>
      <c r="AG330" s="766"/>
      <c r="AH330" s="766"/>
      <c r="AI330" s="766"/>
      <c r="AJ330" s="766"/>
      <c r="AK330" s="827"/>
      <c r="AL330" s="766"/>
      <c r="AM330" s="766"/>
      <c r="AN330" s="766"/>
      <c r="AO330" s="766"/>
      <c r="AP330" s="827"/>
      <c r="AQ330" s="766"/>
      <c r="AR330" s="766"/>
      <c r="AS330" s="766"/>
      <c r="AT330" s="766"/>
      <c r="AU330" s="827"/>
      <c r="AV330" s="766"/>
      <c r="AW330" s="766"/>
      <c r="AX330" s="766"/>
      <c r="AY330" s="766"/>
      <c r="AZ330" s="827"/>
      <c r="BA330" s="766"/>
      <c r="BB330" s="766"/>
      <c r="BC330" s="766"/>
      <c r="BD330" s="766"/>
      <c r="BE330" s="827"/>
      <c r="BF330" s="766"/>
      <c r="BG330" s="766"/>
      <c r="BH330" s="766"/>
      <c r="BI330" s="766"/>
      <c r="BJ330" s="827"/>
      <c r="BK330" s="766"/>
      <c r="BL330" s="766"/>
      <c r="BM330" s="766"/>
      <c r="BN330" s="766"/>
      <c r="BO330" s="827"/>
      <c r="BP330" s="766"/>
      <c r="BQ330" s="766"/>
      <c r="BR330" s="766"/>
      <c r="BS330" s="766"/>
      <c r="BT330" s="827"/>
      <c r="BU330" s="766"/>
      <c r="BV330" s="766"/>
      <c r="BW330" s="766"/>
      <c r="BX330" s="766"/>
      <c r="BY330" s="827"/>
      <c r="BZ330" s="766"/>
      <c r="CA330" s="766"/>
      <c r="CB330" s="766"/>
      <c r="CC330" s="766"/>
      <c r="CD330" s="827"/>
      <c r="CE330" s="766"/>
      <c r="CF330" s="766"/>
      <c r="CG330" s="766"/>
      <c r="CH330" s="766"/>
      <c r="CI330" s="774"/>
      <c r="CJ330" s="792"/>
      <c r="CK330" s="792"/>
      <c r="CL330" s="792"/>
      <c r="CM330" s="792"/>
      <c r="CN330" s="774"/>
      <c r="CO330" s="792"/>
      <c r="CP330" s="792"/>
      <c r="CQ330" s="792"/>
      <c r="CR330" s="792"/>
      <c r="CS330" s="776"/>
      <c r="CT330" s="14"/>
    </row>
    <row r="331" spans="1:98" s="4" customFormat="1" ht="136.5" customHeight="1" x14ac:dyDescent="0.3">
      <c r="A331" s="877" t="s">
        <v>682</v>
      </c>
      <c r="B331" s="864" t="s">
        <v>683</v>
      </c>
      <c r="C331" s="866" t="s">
        <v>1361</v>
      </c>
      <c r="D331" s="759" t="s">
        <v>669</v>
      </c>
      <c r="E331" s="714" t="s">
        <v>52</v>
      </c>
      <c r="F331" s="841" t="s">
        <v>684</v>
      </c>
      <c r="G331" s="283" t="s">
        <v>58</v>
      </c>
      <c r="H331" s="65">
        <v>100</v>
      </c>
      <c r="I331" s="65">
        <v>100</v>
      </c>
      <c r="J331" s="65">
        <v>100</v>
      </c>
      <c r="K331" s="65" t="s">
        <v>140</v>
      </c>
      <c r="L331" s="65">
        <v>100</v>
      </c>
      <c r="M331" s="653" t="s">
        <v>1712</v>
      </c>
      <c r="N331" s="761" t="s">
        <v>1580</v>
      </c>
      <c r="O331" s="777" t="s">
        <v>1643</v>
      </c>
      <c r="P331" s="550"/>
      <c r="Q331" s="65">
        <v>100</v>
      </c>
      <c r="R331" s="65">
        <v>100</v>
      </c>
      <c r="S331" s="65">
        <v>100</v>
      </c>
      <c r="T331" s="65">
        <v>100</v>
      </c>
      <c r="U331" s="65">
        <v>100</v>
      </c>
      <c r="V331" s="65">
        <v>100</v>
      </c>
      <c r="W331" s="65">
        <v>100</v>
      </c>
      <c r="X331" s="65">
        <v>100</v>
      </c>
      <c r="Y331" s="65">
        <v>100</v>
      </c>
      <c r="Z331" s="65">
        <v>100</v>
      </c>
      <c r="AA331" s="826">
        <f>SUM(AB331:AE332)</f>
        <v>3486</v>
      </c>
      <c r="AB331" s="765">
        <v>3486</v>
      </c>
      <c r="AC331" s="765"/>
      <c r="AD331" s="765"/>
      <c r="AE331" s="765"/>
      <c r="AF331" s="826">
        <f>SUM(AG331:AJ332)</f>
        <v>3486</v>
      </c>
      <c r="AG331" s="765">
        <v>3486</v>
      </c>
      <c r="AH331" s="765"/>
      <c r="AI331" s="765"/>
      <c r="AJ331" s="765"/>
      <c r="AK331" s="826">
        <f>SUM(AL331:AO332)</f>
        <v>3486</v>
      </c>
      <c r="AL331" s="765">
        <v>3486</v>
      </c>
      <c r="AM331" s="765"/>
      <c r="AN331" s="765"/>
      <c r="AO331" s="765"/>
      <c r="AP331" s="826">
        <f>SUM(AQ331:AT332)</f>
        <v>3486</v>
      </c>
      <c r="AQ331" s="765">
        <v>3486</v>
      </c>
      <c r="AR331" s="765"/>
      <c r="AS331" s="765"/>
      <c r="AT331" s="765"/>
      <c r="AU331" s="826">
        <f>SUM(AV331:AY332)</f>
        <v>3486</v>
      </c>
      <c r="AV331" s="765">
        <v>3486</v>
      </c>
      <c r="AW331" s="765"/>
      <c r="AX331" s="765"/>
      <c r="AY331" s="765"/>
      <c r="AZ331" s="826">
        <f>SUM(BA331:BD332)</f>
        <v>3486</v>
      </c>
      <c r="BA331" s="765">
        <v>3486</v>
      </c>
      <c r="BB331" s="765"/>
      <c r="BC331" s="765"/>
      <c r="BD331" s="765"/>
      <c r="BE331" s="826">
        <f>SUM(BF331:BI332)</f>
        <v>3486</v>
      </c>
      <c r="BF331" s="765">
        <v>3486</v>
      </c>
      <c r="BG331" s="765"/>
      <c r="BH331" s="765"/>
      <c r="BI331" s="765"/>
      <c r="BJ331" s="826">
        <f>SUM(BK331:BN332)</f>
        <v>3486</v>
      </c>
      <c r="BK331" s="765">
        <v>3486</v>
      </c>
      <c r="BL331" s="765"/>
      <c r="BM331" s="765"/>
      <c r="BN331" s="765"/>
      <c r="BO331" s="826">
        <f>SUM(BP331:BS332)</f>
        <v>3486</v>
      </c>
      <c r="BP331" s="765">
        <v>3486</v>
      </c>
      <c r="BQ331" s="765"/>
      <c r="BR331" s="765"/>
      <c r="BS331" s="765"/>
      <c r="BT331" s="826">
        <f>SUM(BU331:BX332)</f>
        <v>3486</v>
      </c>
      <c r="BU331" s="765">
        <v>3486</v>
      </c>
      <c r="BV331" s="765"/>
      <c r="BW331" s="765"/>
      <c r="BX331" s="765"/>
      <c r="BY331" s="826">
        <f>SUM(BZ331:CC332)</f>
        <v>3486</v>
      </c>
      <c r="BZ331" s="765">
        <v>3486</v>
      </c>
      <c r="CA331" s="765"/>
      <c r="CB331" s="765"/>
      <c r="CC331" s="765"/>
      <c r="CD331" s="826">
        <f>SUM(CE331:CH332)</f>
        <v>3486</v>
      </c>
      <c r="CE331" s="765">
        <v>3486</v>
      </c>
      <c r="CF331" s="765"/>
      <c r="CG331" s="765"/>
      <c r="CH331" s="765"/>
      <c r="CI331" s="773">
        <f>AA331+AF331+AK331</f>
        <v>10458</v>
      </c>
      <c r="CJ331" s="791">
        <f t="shared" ref="CJ331" si="788">AB331+AG331+AL331</f>
        <v>10458</v>
      </c>
      <c r="CK331" s="791">
        <f t="shared" ref="CK331" si="789">AC331+AH331+AM331</f>
        <v>0</v>
      </c>
      <c r="CL331" s="791">
        <f t="shared" ref="CL331" si="790">AD331+AI331+AN331</f>
        <v>0</v>
      </c>
      <c r="CM331" s="791">
        <f t="shared" ref="CM331" si="791">AE331+AJ331+AO331</f>
        <v>0</v>
      </c>
      <c r="CN331" s="773">
        <f>AA331+AF331+AK331+AP331+AU331+AZ331+BE331+BJ331+BO331+BT331+BY331+CD331</f>
        <v>41832</v>
      </c>
      <c r="CO331" s="791">
        <f>AB331+AG331+AL331+AQ331+AV331+BA331+BF331+BK331+BP331+BU331+BZ331+CE331</f>
        <v>41832</v>
      </c>
      <c r="CP331" s="791">
        <f>AC331+AH331+AM331+AR331+AW331+BB331+BG331+BL331+BQ331+BV331+CA331+CF331</f>
        <v>0</v>
      </c>
      <c r="CQ331" s="791">
        <f>AD331+AI331+AN331+AS331+AX331+BC331+BH331+BM331+BR331+BW331+CB331+CG331</f>
        <v>0</v>
      </c>
      <c r="CR331" s="791">
        <f>AE331+AJ331+AO331+AT331+AY331+BD331+BI331+BN331+BS331+BX331+CC331+CH331</f>
        <v>0</v>
      </c>
      <c r="CS331" s="775">
        <f>CN331-CO331-CP331-CQ331-CR331</f>
        <v>0</v>
      </c>
      <c r="CT331" s="14"/>
    </row>
    <row r="332" spans="1:98" s="4" customFormat="1" ht="154.5" customHeight="1" x14ac:dyDescent="0.3">
      <c r="A332" s="877"/>
      <c r="B332" s="864"/>
      <c r="C332" s="866"/>
      <c r="D332" s="759"/>
      <c r="E332" s="715"/>
      <c r="F332" s="841"/>
      <c r="G332" s="283" t="s">
        <v>31</v>
      </c>
      <c r="H332" s="65">
        <v>1</v>
      </c>
      <c r="I332" s="65">
        <v>2</v>
      </c>
      <c r="J332" s="65">
        <v>2</v>
      </c>
      <c r="K332" s="65" t="s">
        <v>140</v>
      </c>
      <c r="L332" s="65">
        <v>2</v>
      </c>
      <c r="M332" s="653" t="s">
        <v>1712</v>
      </c>
      <c r="N332" s="762"/>
      <c r="O332" s="778"/>
      <c r="P332" s="551"/>
      <c r="Q332" s="65">
        <v>2</v>
      </c>
      <c r="R332" s="65">
        <v>2</v>
      </c>
      <c r="S332" s="65">
        <v>2</v>
      </c>
      <c r="T332" s="65">
        <v>2</v>
      </c>
      <c r="U332" s="65">
        <v>2</v>
      </c>
      <c r="V332" s="65">
        <v>2</v>
      </c>
      <c r="W332" s="65">
        <v>2</v>
      </c>
      <c r="X332" s="65">
        <v>2</v>
      </c>
      <c r="Y332" s="65">
        <v>2</v>
      </c>
      <c r="Z332" s="65">
        <v>2</v>
      </c>
      <c r="AA332" s="827"/>
      <c r="AB332" s="766"/>
      <c r="AC332" s="766"/>
      <c r="AD332" s="766"/>
      <c r="AE332" s="766"/>
      <c r="AF332" s="827"/>
      <c r="AG332" s="766"/>
      <c r="AH332" s="766"/>
      <c r="AI332" s="766"/>
      <c r="AJ332" s="766"/>
      <c r="AK332" s="827"/>
      <c r="AL332" s="766"/>
      <c r="AM332" s="766"/>
      <c r="AN332" s="766"/>
      <c r="AO332" s="766"/>
      <c r="AP332" s="827"/>
      <c r="AQ332" s="766"/>
      <c r="AR332" s="766"/>
      <c r="AS332" s="766"/>
      <c r="AT332" s="766"/>
      <c r="AU332" s="827"/>
      <c r="AV332" s="766"/>
      <c r="AW332" s="766"/>
      <c r="AX332" s="766"/>
      <c r="AY332" s="766"/>
      <c r="AZ332" s="827"/>
      <c r="BA332" s="766"/>
      <c r="BB332" s="766"/>
      <c r="BC332" s="766"/>
      <c r="BD332" s="766"/>
      <c r="BE332" s="827"/>
      <c r="BF332" s="766"/>
      <c r="BG332" s="766"/>
      <c r="BH332" s="766"/>
      <c r="BI332" s="766"/>
      <c r="BJ332" s="827"/>
      <c r="BK332" s="766"/>
      <c r="BL332" s="766"/>
      <c r="BM332" s="766"/>
      <c r="BN332" s="766"/>
      <c r="BO332" s="827"/>
      <c r="BP332" s="766"/>
      <c r="BQ332" s="766"/>
      <c r="BR332" s="766"/>
      <c r="BS332" s="766"/>
      <c r="BT332" s="827"/>
      <c r="BU332" s="766"/>
      <c r="BV332" s="766"/>
      <c r="BW332" s="766"/>
      <c r="BX332" s="766"/>
      <c r="BY332" s="827"/>
      <c r="BZ332" s="766"/>
      <c r="CA332" s="766"/>
      <c r="CB332" s="766"/>
      <c r="CC332" s="766"/>
      <c r="CD332" s="827"/>
      <c r="CE332" s="766"/>
      <c r="CF332" s="766"/>
      <c r="CG332" s="766"/>
      <c r="CH332" s="766"/>
      <c r="CI332" s="774"/>
      <c r="CJ332" s="792"/>
      <c r="CK332" s="792"/>
      <c r="CL332" s="792"/>
      <c r="CM332" s="792"/>
      <c r="CN332" s="774"/>
      <c r="CO332" s="792"/>
      <c r="CP332" s="792"/>
      <c r="CQ332" s="792"/>
      <c r="CR332" s="792"/>
      <c r="CS332" s="776"/>
      <c r="CT332" s="14"/>
    </row>
    <row r="333" spans="1:98" s="4" customFormat="1" ht="409.5" customHeight="1" x14ac:dyDescent="0.3">
      <c r="A333" s="862" t="s">
        <v>1363</v>
      </c>
      <c r="B333" s="830" t="s">
        <v>688</v>
      </c>
      <c r="C333" s="817" t="s">
        <v>1362</v>
      </c>
      <c r="D333" s="714" t="s">
        <v>669</v>
      </c>
      <c r="E333" s="777" t="s">
        <v>52</v>
      </c>
      <c r="F333" s="875" t="s">
        <v>689</v>
      </c>
      <c r="G333" s="728" t="s">
        <v>62</v>
      </c>
      <c r="H333" s="887">
        <v>0</v>
      </c>
      <c r="I333" s="887">
        <v>80</v>
      </c>
      <c r="J333" s="887">
        <v>80</v>
      </c>
      <c r="K333" s="887">
        <v>50</v>
      </c>
      <c r="L333" s="887">
        <v>80</v>
      </c>
      <c r="M333" s="924">
        <v>67</v>
      </c>
      <c r="N333" s="922" t="s">
        <v>1581</v>
      </c>
      <c r="O333" s="914"/>
      <c r="P333" s="558"/>
      <c r="Q333" s="44">
        <v>80</v>
      </c>
      <c r="R333" s="44">
        <v>80</v>
      </c>
      <c r="S333" s="44">
        <v>80</v>
      </c>
      <c r="T333" s="44">
        <v>80</v>
      </c>
      <c r="U333" s="44">
        <v>80</v>
      </c>
      <c r="V333" s="44">
        <v>80</v>
      </c>
      <c r="W333" s="44">
        <v>80</v>
      </c>
      <c r="X333" s="44">
        <v>80</v>
      </c>
      <c r="Y333" s="44">
        <v>80</v>
      </c>
      <c r="Z333" s="44">
        <v>80</v>
      </c>
      <c r="AA333" s="82"/>
      <c r="AB333" s="70"/>
      <c r="AC333" s="70"/>
      <c r="AD333" s="70"/>
      <c r="AE333" s="70"/>
      <c r="AF333" s="82"/>
      <c r="AG333" s="70"/>
      <c r="AH333" s="70"/>
      <c r="AI333" s="70"/>
      <c r="AJ333" s="70"/>
      <c r="AK333" s="82"/>
      <c r="AL333" s="70"/>
      <c r="AM333" s="70"/>
      <c r="AN333" s="70"/>
      <c r="AO333" s="70"/>
      <c r="AP333" s="82"/>
      <c r="AQ333" s="70"/>
      <c r="AR333" s="70"/>
      <c r="AS333" s="70"/>
      <c r="AT333" s="70"/>
      <c r="AU333" s="82"/>
      <c r="AV333" s="70"/>
      <c r="AW333" s="70"/>
      <c r="AX333" s="70"/>
      <c r="AY333" s="70"/>
      <c r="AZ333" s="82"/>
      <c r="BA333" s="70"/>
      <c r="BB333" s="70"/>
      <c r="BC333" s="70"/>
      <c r="BD333" s="70"/>
      <c r="BE333" s="82"/>
      <c r="BF333" s="70"/>
      <c r="BG333" s="70"/>
      <c r="BH333" s="70"/>
      <c r="BI333" s="70"/>
      <c r="BJ333" s="82"/>
      <c r="BK333" s="70"/>
      <c r="BL333" s="70"/>
      <c r="BM333" s="70"/>
      <c r="BN333" s="70"/>
      <c r="BO333" s="82"/>
      <c r="BP333" s="70"/>
      <c r="BQ333" s="70"/>
      <c r="BR333" s="70"/>
      <c r="BS333" s="70"/>
      <c r="BT333" s="82"/>
      <c r="BU333" s="70"/>
      <c r="BV333" s="70"/>
      <c r="BW333" s="70"/>
      <c r="BX333" s="70"/>
      <c r="BY333" s="82"/>
      <c r="BZ333" s="70"/>
      <c r="CA333" s="70"/>
      <c r="CB333" s="70"/>
      <c r="CC333" s="70"/>
      <c r="CD333" s="82"/>
      <c r="CE333" s="70"/>
      <c r="CF333" s="70"/>
      <c r="CG333" s="70"/>
      <c r="CH333" s="70"/>
      <c r="CI333" s="165">
        <f>AA333+AF333+AK333</f>
        <v>0</v>
      </c>
      <c r="CJ333" s="164">
        <f t="shared" ref="CJ333:CM333" si="792">AB333+AG333+AL333</f>
        <v>0</v>
      </c>
      <c r="CK333" s="164">
        <f t="shared" si="792"/>
        <v>0</v>
      </c>
      <c r="CL333" s="164">
        <f t="shared" si="792"/>
        <v>0</v>
      </c>
      <c r="CM333" s="164">
        <f t="shared" si="792"/>
        <v>0</v>
      </c>
      <c r="CN333" s="181">
        <f t="shared" ref="CN333:CR336" si="793">AA333+AF333+AK333+AP333+AU333+AZ333+BE333+BJ333+BO333+BT333+BY333+CD333</f>
        <v>0</v>
      </c>
      <c r="CO333" s="180">
        <f t="shared" si="793"/>
        <v>0</v>
      </c>
      <c r="CP333" s="180">
        <f t="shared" si="793"/>
        <v>0</v>
      </c>
      <c r="CQ333" s="180">
        <f t="shared" si="793"/>
        <v>0</v>
      </c>
      <c r="CR333" s="180">
        <f t="shared" si="793"/>
        <v>0</v>
      </c>
      <c r="CS333" s="273">
        <f>CN333-CO333-CP333-CQ333-CR333</f>
        <v>0</v>
      </c>
      <c r="CT333" s="14"/>
    </row>
    <row r="334" spans="1:98" s="4" customFormat="1" ht="118.5" customHeight="1" x14ac:dyDescent="0.3">
      <c r="A334" s="863"/>
      <c r="B334" s="831"/>
      <c r="C334" s="818"/>
      <c r="D334" s="715"/>
      <c r="E334" s="778"/>
      <c r="F334" s="876"/>
      <c r="G334" s="729"/>
      <c r="H334" s="888"/>
      <c r="I334" s="888"/>
      <c r="J334" s="888"/>
      <c r="K334" s="888"/>
      <c r="L334" s="888"/>
      <c r="M334" s="925"/>
      <c r="N334" s="923"/>
      <c r="O334" s="915"/>
      <c r="P334" s="559"/>
      <c r="Q334" s="44"/>
      <c r="R334" s="44"/>
      <c r="S334" s="44"/>
      <c r="T334" s="44"/>
      <c r="U334" s="44"/>
      <c r="V334" s="44"/>
      <c r="W334" s="44"/>
      <c r="X334" s="44"/>
      <c r="Y334" s="44"/>
      <c r="Z334" s="44"/>
      <c r="AA334" s="82"/>
      <c r="AB334" s="70"/>
      <c r="AC334" s="70"/>
      <c r="AD334" s="70"/>
      <c r="AE334" s="70"/>
      <c r="AF334" s="82"/>
      <c r="AG334" s="70"/>
      <c r="AH334" s="70"/>
      <c r="AI334" s="70"/>
      <c r="AJ334" s="70"/>
      <c r="AK334" s="82"/>
      <c r="AL334" s="70"/>
      <c r="AM334" s="70"/>
      <c r="AN334" s="70"/>
      <c r="AO334" s="70"/>
      <c r="AP334" s="82"/>
      <c r="AQ334" s="70"/>
      <c r="AR334" s="70"/>
      <c r="AS334" s="70"/>
      <c r="AT334" s="70"/>
      <c r="AU334" s="82"/>
      <c r="AV334" s="70"/>
      <c r="AW334" s="70"/>
      <c r="AX334" s="70"/>
      <c r="AY334" s="70"/>
      <c r="AZ334" s="82"/>
      <c r="BA334" s="70"/>
      <c r="BB334" s="70"/>
      <c r="BC334" s="70"/>
      <c r="BD334" s="70"/>
      <c r="BE334" s="82"/>
      <c r="BF334" s="70"/>
      <c r="BG334" s="70"/>
      <c r="BH334" s="70"/>
      <c r="BI334" s="70"/>
      <c r="BJ334" s="82"/>
      <c r="BK334" s="70"/>
      <c r="BL334" s="70"/>
      <c r="BM334" s="70"/>
      <c r="BN334" s="70"/>
      <c r="BO334" s="82"/>
      <c r="BP334" s="70"/>
      <c r="BQ334" s="70"/>
      <c r="BR334" s="70"/>
      <c r="BS334" s="70"/>
      <c r="BT334" s="82"/>
      <c r="BU334" s="70"/>
      <c r="BV334" s="70"/>
      <c r="BW334" s="70"/>
      <c r="BX334" s="70"/>
      <c r="BY334" s="82"/>
      <c r="BZ334" s="70"/>
      <c r="CA334" s="70"/>
      <c r="CB334" s="70"/>
      <c r="CC334" s="70"/>
      <c r="CD334" s="82"/>
      <c r="CE334" s="70"/>
      <c r="CF334" s="70"/>
      <c r="CG334" s="70"/>
      <c r="CH334" s="70"/>
      <c r="CI334" s="494"/>
      <c r="CJ334" s="491"/>
      <c r="CK334" s="491"/>
      <c r="CL334" s="491"/>
      <c r="CM334" s="491"/>
      <c r="CN334" s="501"/>
      <c r="CO334" s="492"/>
      <c r="CP334" s="492"/>
      <c r="CQ334" s="492"/>
      <c r="CR334" s="492"/>
      <c r="CS334" s="490"/>
      <c r="CT334" s="14"/>
    </row>
    <row r="335" spans="1:98" s="4" customFormat="1" ht="72" x14ac:dyDescent="0.35">
      <c r="A335" s="190" t="s">
        <v>687</v>
      </c>
      <c r="B335" s="189" t="s">
        <v>691</v>
      </c>
      <c r="C335" s="188" t="s">
        <v>692</v>
      </c>
      <c r="D335" s="193" t="s">
        <v>669</v>
      </c>
      <c r="E335" s="193">
        <v>2019</v>
      </c>
      <c r="F335" s="192" t="s">
        <v>693</v>
      </c>
      <c r="G335" s="187" t="s">
        <v>117</v>
      </c>
      <c r="H335" s="527"/>
      <c r="I335" s="76" t="s">
        <v>118</v>
      </c>
      <c r="J335" s="76"/>
      <c r="K335" s="76" t="s">
        <v>118</v>
      </c>
      <c r="L335" s="76"/>
      <c r="M335" s="659" t="s">
        <v>118</v>
      </c>
      <c r="N335" s="597"/>
      <c r="O335" s="625"/>
      <c r="P335" s="444"/>
      <c r="Q335" s="193"/>
      <c r="R335" s="193"/>
      <c r="S335" s="193"/>
      <c r="T335" s="193"/>
      <c r="U335" s="193"/>
      <c r="V335" s="193"/>
      <c r="W335" s="193"/>
      <c r="X335" s="193"/>
      <c r="Y335" s="193"/>
      <c r="Z335" s="193"/>
      <c r="AA335" s="82"/>
      <c r="AB335" s="70"/>
      <c r="AC335" s="70"/>
      <c r="AD335" s="70"/>
      <c r="AE335" s="70"/>
      <c r="AF335" s="82"/>
      <c r="AG335" s="70"/>
      <c r="AH335" s="70"/>
      <c r="AI335" s="70"/>
      <c r="AJ335" s="70"/>
      <c r="AK335" s="82"/>
      <c r="AL335" s="70"/>
      <c r="AM335" s="70"/>
      <c r="AN335" s="70"/>
      <c r="AO335" s="70"/>
      <c r="AP335" s="82"/>
      <c r="AQ335" s="70"/>
      <c r="AR335" s="70"/>
      <c r="AS335" s="70"/>
      <c r="AT335" s="70"/>
      <c r="AU335" s="82"/>
      <c r="AV335" s="70"/>
      <c r="AW335" s="70"/>
      <c r="AX335" s="70"/>
      <c r="AY335" s="70"/>
      <c r="AZ335" s="82"/>
      <c r="BA335" s="70"/>
      <c r="BB335" s="70"/>
      <c r="BC335" s="70"/>
      <c r="BD335" s="70"/>
      <c r="BE335" s="82"/>
      <c r="BF335" s="70"/>
      <c r="BG335" s="70"/>
      <c r="BH335" s="70"/>
      <c r="BI335" s="70"/>
      <c r="BJ335" s="82"/>
      <c r="BK335" s="70"/>
      <c r="BL335" s="70"/>
      <c r="BM335" s="70"/>
      <c r="BN335" s="70"/>
      <c r="BO335" s="82"/>
      <c r="BP335" s="70"/>
      <c r="BQ335" s="70"/>
      <c r="BR335" s="70"/>
      <c r="BS335" s="70"/>
      <c r="BT335" s="82"/>
      <c r="BU335" s="70"/>
      <c r="BV335" s="70"/>
      <c r="BW335" s="70"/>
      <c r="BX335" s="70"/>
      <c r="BY335" s="82"/>
      <c r="BZ335" s="70"/>
      <c r="CA335" s="70"/>
      <c r="CB335" s="70"/>
      <c r="CC335" s="70"/>
      <c r="CD335" s="82"/>
      <c r="CE335" s="70"/>
      <c r="CF335" s="70"/>
      <c r="CG335" s="70"/>
      <c r="CH335" s="70"/>
      <c r="CI335" s="165">
        <f t="shared" ref="CI335:CI336" si="794">AA335+AF335+AK335</f>
        <v>0</v>
      </c>
      <c r="CJ335" s="164">
        <f t="shared" ref="CJ335:CJ336" si="795">AB335+AG335+AL335</f>
        <v>0</v>
      </c>
      <c r="CK335" s="164">
        <f t="shared" ref="CK335:CK336" si="796">AC335+AH335+AM335</f>
        <v>0</v>
      </c>
      <c r="CL335" s="164">
        <f t="shared" ref="CL335:CL336" si="797">AD335+AI335+AN335</f>
        <v>0</v>
      </c>
      <c r="CM335" s="164">
        <f t="shared" ref="CM335:CM336" si="798">AE335+AJ335+AO335</f>
        <v>0</v>
      </c>
      <c r="CN335" s="181">
        <f t="shared" si="793"/>
        <v>0</v>
      </c>
      <c r="CO335" s="180">
        <f t="shared" si="793"/>
        <v>0</v>
      </c>
      <c r="CP335" s="180">
        <f t="shared" si="793"/>
        <v>0</v>
      </c>
      <c r="CQ335" s="180">
        <f t="shared" si="793"/>
        <v>0</v>
      </c>
      <c r="CR335" s="180">
        <f t="shared" si="793"/>
        <v>0</v>
      </c>
      <c r="CS335" s="273">
        <f>CN335-CO335-CP335-CQ335-CR335</f>
        <v>0</v>
      </c>
      <c r="CT335" s="14"/>
    </row>
    <row r="336" spans="1:98" s="4" customFormat="1" ht="279" customHeight="1" x14ac:dyDescent="0.35">
      <c r="A336" s="877" t="s">
        <v>690</v>
      </c>
      <c r="B336" s="864" t="s">
        <v>695</v>
      </c>
      <c r="C336" s="859" t="s">
        <v>696</v>
      </c>
      <c r="D336" s="714" t="s">
        <v>669</v>
      </c>
      <c r="E336" s="714" t="s">
        <v>144</v>
      </c>
      <c r="F336" s="192" t="s">
        <v>697</v>
      </c>
      <c r="G336" s="187" t="s">
        <v>117</v>
      </c>
      <c r="H336" s="527"/>
      <c r="I336" s="96" t="s">
        <v>118</v>
      </c>
      <c r="J336" s="96" t="s">
        <v>118</v>
      </c>
      <c r="K336" s="96" t="s">
        <v>118</v>
      </c>
      <c r="L336" s="96" t="s">
        <v>118</v>
      </c>
      <c r="M336" s="669" t="s">
        <v>118</v>
      </c>
      <c r="N336" s="597"/>
      <c r="O336" s="625"/>
      <c r="P336" s="444"/>
      <c r="Q336" s="96" t="s">
        <v>118</v>
      </c>
      <c r="R336" s="96" t="s">
        <v>118</v>
      </c>
      <c r="S336" s="96"/>
      <c r="T336" s="96"/>
      <c r="U336" s="96"/>
      <c r="V336" s="96"/>
      <c r="W336" s="96"/>
      <c r="X336" s="96"/>
      <c r="Y336" s="96"/>
      <c r="Z336" s="96"/>
      <c r="AA336" s="826"/>
      <c r="AB336" s="793"/>
      <c r="AC336" s="793"/>
      <c r="AD336" s="793"/>
      <c r="AE336" s="793"/>
      <c r="AF336" s="826"/>
      <c r="AG336" s="793"/>
      <c r="AH336" s="793"/>
      <c r="AI336" s="793"/>
      <c r="AJ336" s="793"/>
      <c r="AK336" s="826"/>
      <c r="AL336" s="793"/>
      <c r="AM336" s="793"/>
      <c r="AN336" s="793"/>
      <c r="AO336" s="793"/>
      <c r="AP336" s="826"/>
      <c r="AQ336" s="793"/>
      <c r="AR336" s="793"/>
      <c r="AS336" s="793"/>
      <c r="AT336" s="793"/>
      <c r="AU336" s="826"/>
      <c r="AV336" s="793"/>
      <c r="AW336" s="793"/>
      <c r="AX336" s="793"/>
      <c r="AY336" s="793"/>
      <c r="AZ336" s="826"/>
      <c r="BA336" s="793"/>
      <c r="BB336" s="793"/>
      <c r="BC336" s="793"/>
      <c r="BD336" s="793"/>
      <c r="BE336" s="826"/>
      <c r="BF336" s="793"/>
      <c r="BG336" s="793"/>
      <c r="BH336" s="793"/>
      <c r="BI336" s="793"/>
      <c r="BJ336" s="826"/>
      <c r="BK336" s="793"/>
      <c r="BL336" s="793"/>
      <c r="BM336" s="793"/>
      <c r="BN336" s="793"/>
      <c r="BO336" s="826"/>
      <c r="BP336" s="793"/>
      <c r="BQ336" s="793"/>
      <c r="BR336" s="793"/>
      <c r="BS336" s="793"/>
      <c r="BT336" s="826"/>
      <c r="BU336" s="793"/>
      <c r="BV336" s="793"/>
      <c r="BW336" s="793"/>
      <c r="BX336" s="793"/>
      <c r="BY336" s="826"/>
      <c r="BZ336" s="793"/>
      <c r="CA336" s="793"/>
      <c r="CB336" s="793"/>
      <c r="CC336" s="793"/>
      <c r="CD336" s="826"/>
      <c r="CE336" s="793"/>
      <c r="CF336" s="793"/>
      <c r="CG336" s="793"/>
      <c r="CH336" s="793"/>
      <c r="CI336" s="767">
        <f t="shared" si="794"/>
        <v>0</v>
      </c>
      <c r="CJ336" s="765">
        <f t="shared" si="795"/>
        <v>0</v>
      </c>
      <c r="CK336" s="765">
        <f t="shared" si="796"/>
        <v>0</v>
      </c>
      <c r="CL336" s="765">
        <f t="shared" si="797"/>
        <v>0</v>
      </c>
      <c r="CM336" s="765">
        <f t="shared" si="798"/>
        <v>0</v>
      </c>
      <c r="CN336" s="773">
        <f t="shared" si="793"/>
        <v>0</v>
      </c>
      <c r="CO336" s="791">
        <f t="shared" si="793"/>
        <v>0</v>
      </c>
      <c r="CP336" s="791">
        <f t="shared" si="793"/>
        <v>0</v>
      </c>
      <c r="CQ336" s="791">
        <f t="shared" si="793"/>
        <v>0</v>
      </c>
      <c r="CR336" s="791">
        <f t="shared" si="793"/>
        <v>0</v>
      </c>
      <c r="CS336" s="775">
        <f>CN336-CO336-CP336-CQ336-CR336</f>
        <v>0</v>
      </c>
      <c r="CT336" s="14"/>
    </row>
    <row r="337" spans="1:98" s="4" customFormat="1" ht="96" customHeight="1" x14ac:dyDescent="0.3">
      <c r="A337" s="877"/>
      <c r="B337" s="864"/>
      <c r="C337" s="860"/>
      <c r="D337" s="748"/>
      <c r="E337" s="748"/>
      <c r="F337" s="159" t="s">
        <v>884</v>
      </c>
      <c r="G337" s="187" t="s">
        <v>62</v>
      </c>
      <c r="H337" s="139">
        <v>100</v>
      </c>
      <c r="I337" s="139">
        <v>144.69999999999999</v>
      </c>
      <c r="J337" s="139">
        <v>144.69999999999999</v>
      </c>
      <c r="K337" s="139">
        <v>146.1</v>
      </c>
      <c r="L337" s="139">
        <v>144.69999999999999</v>
      </c>
      <c r="M337" s="642">
        <v>136.80000000000001</v>
      </c>
      <c r="N337" s="444"/>
      <c r="O337" s="699" t="s">
        <v>1729</v>
      </c>
      <c r="P337" s="444"/>
      <c r="Q337" s="139">
        <v>144.69999999999999</v>
      </c>
      <c r="R337" s="139">
        <v>144.69999999999999</v>
      </c>
      <c r="S337" s="139">
        <v>144.69999999999999</v>
      </c>
      <c r="T337" s="139">
        <v>144.69999999999999</v>
      </c>
      <c r="U337" s="139">
        <v>192.1</v>
      </c>
      <c r="V337" s="139">
        <v>192.1</v>
      </c>
      <c r="W337" s="139">
        <v>192.1</v>
      </c>
      <c r="X337" s="139">
        <v>192.1</v>
      </c>
      <c r="Y337" s="139">
        <v>192.1</v>
      </c>
      <c r="Z337" s="139">
        <v>220.5</v>
      </c>
      <c r="AA337" s="842"/>
      <c r="AB337" s="874"/>
      <c r="AC337" s="874"/>
      <c r="AD337" s="874"/>
      <c r="AE337" s="874"/>
      <c r="AF337" s="842"/>
      <c r="AG337" s="874"/>
      <c r="AH337" s="874"/>
      <c r="AI337" s="874"/>
      <c r="AJ337" s="874"/>
      <c r="AK337" s="842"/>
      <c r="AL337" s="874"/>
      <c r="AM337" s="874"/>
      <c r="AN337" s="874"/>
      <c r="AO337" s="874"/>
      <c r="AP337" s="842"/>
      <c r="AQ337" s="874"/>
      <c r="AR337" s="874"/>
      <c r="AS337" s="874"/>
      <c r="AT337" s="874"/>
      <c r="AU337" s="842"/>
      <c r="AV337" s="874"/>
      <c r="AW337" s="874"/>
      <c r="AX337" s="874"/>
      <c r="AY337" s="874"/>
      <c r="AZ337" s="842"/>
      <c r="BA337" s="874"/>
      <c r="BB337" s="874"/>
      <c r="BC337" s="874"/>
      <c r="BD337" s="874"/>
      <c r="BE337" s="842"/>
      <c r="BF337" s="874"/>
      <c r="BG337" s="874"/>
      <c r="BH337" s="874"/>
      <c r="BI337" s="874"/>
      <c r="BJ337" s="842"/>
      <c r="BK337" s="874"/>
      <c r="BL337" s="874"/>
      <c r="BM337" s="874"/>
      <c r="BN337" s="874"/>
      <c r="BO337" s="842"/>
      <c r="BP337" s="874"/>
      <c r="BQ337" s="874"/>
      <c r="BR337" s="874"/>
      <c r="BS337" s="874"/>
      <c r="BT337" s="842"/>
      <c r="BU337" s="874"/>
      <c r="BV337" s="874"/>
      <c r="BW337" s="874"/>
      <c r="BX337" s="874"/>
      <c r="BY337" s="842"/>
      <c r="BZ337" s="874"/>
      <c r="CA337" s="874"/>
      <c r="CB337" s="874"/>
      <c r="CC337" s="874"/>
      <c r="CD337" s="842"/>
      <c r="CE337" s="874"/>
      <c r="CF337" s="874"/>
      <c r="CG337" s="874"/>
      <c r="CH337" s="874"/>
      <c r="CI337" s="798"/>
      <c r="CJ337" s="769"/>
      <c r="CK337" s="769"/>
      <c r="CL337" s="769"/>
      <c r="CM337" s="769"/>
      <c r="CN337" s="799"/>
      <c r="CO337" s="795"/>
      <c r="CP337" s="795"/>
      <c r="CQ337" s="795"/>
      <c r="CR337" s="795"/>
      <c r="CS337" s="823"/>
      <c r="CT337" s="14"/>
    </row>
    <row r="338" spans="1:98" s="4" customFormat="1" ht="48" x14ac:dyDescent="0.35">
      <c r="A338" s="877"/>
      <c r="B338" s="864"/>
      <c r="C338" s="860"/>
      <c r="D338" s="748"/>
      <c r="E338" s="748"/>
      <c r="F338" s="159" t="s">
        <v>885</v>
      </c>
      <c r="G338" s="187" t="s">
        <v>62</v>
      </c>
      <c r="H338" s="139">
        <v>100</v>
      </c>
      <c r="I338" s="139">
        <v>121.4</v>
      </c>
      <c r="J338" s="139">
        <v>121.4</v>
      </c>
      <c r="K338" s="139">
        <v>116.9</v>
      </c>
      <c r="L338" s="139">
        <v>121.4</v>
      </c>
      <c r="M338" s="642">
        <v>136.9</v>
      </c>
      <c r="N338" s="597"/>
      <c r="O338" s="625"/>
      <c r="P338" s="444"/>
      <c r="Q338" s="139">
        <v>121.4</v>
      </c>
      <c r="R338" s="139">
        <v>121.4</v>
      </c>
      <c r="S338" s="139">
        <v>121.4</v>
      </c>
      <c r="T338" s="139">
        <v>121.4</v>
      </c>
      <c r="U338" s="139">
        <v>143.5</v>
      </c>
      <c r="V338" s="139">
        <v>143.5</v>
      </c>
      <c r="W338" s="139">
        <v>143.5</v>
      </c>
      <c r="X338" s="139">
        <v>143.5</v>
      </c>
      <c r="Y338" s="139">
        <v>143.5</v>
      </c>
      <c r="Z338" s="139">
        <v>164.7</v>
      </c>
      <c r="AA338" s="842"/>
      <c r="AB338" s="874"/>
      <c r="AC338" s="874"/>
      <c r="AD338" s="874"/>
      <c r="AE338" s="874"/>
      <c r="AF338" s="842"/>
      <c r="AG338" s="874"/>
      <c r="AH338" s="874"/>
      <c r="AI338" s="874"/>
      <c r="AJ338" s="874"/>
      <c r="AK338" s="842"/>
      <c r="AL338" s="874"/>
      <c r="AM338" s="874"/>
      <c r="AN338" s="874"/>
      <c r="AO338" s="874"/>
      <c r="AP338" s="842"/>
      <c r="AQ338" s="874"/>
      <c r="AR338" s="874"/>
      <c r="AS338" s="874"/>
      <c r="AT338" s="874"/>
      <c r="AU338" s="842"/>
      <c r="AV338" s="874"/>
      <c r="AW338" s="874"/>
      <c r="AX338" s="874"/>
      <c r="AY338" s="874"/>
      <c r="AZ338" s="842"/>
      <c r="BA338" s="874"/>
      <c r="BB338" s="874"/>
      <c r="BC338" s="874"/>
      <c r="BD338" s="874"/>
      <c r="BE338" s="842"/>
      <c r="BF338" s="874"/>
      <c r="BG338" s="874"/>
      <c r="BH338" s="874"/>
      <c r="BI338" s="874"/>
      <c r="BJ338" s="842"/>
      <c r="BK338" s="874"/>
      <c r="BL338" s="874"/>
      <c r="BM338" s="874"/>
      <c r="BN338" s="874"/>
      <c r="BO338" s="842"/>
      <c r="BP338" s="874"/>
      <c r="BQ338" s="874"/>
      <c r="BR338" s="874"/>
      <c r="BS338" s="874"/>
      <c r="BT338" s="842"/>
      <c r="BU338" s="874"/>
      <c r="BV338" s="874"/>
      <c r="BW338" s="874"/>
      <c r="BX338" s="874"/>
      <c r="BY338" s="842"/>
      <c r="BZ338" s="874"/>
      <c r="CA338" s="874"/>
      <c r="CB338" s="874"/>
      <c r="CC338" s="874"/>
      <c r="CD338" s="842"/>
      <c r="CE338" s="874"/>
      <c r="CF338" s="874"/>
      <c r="CG338" s="874"/>
      <c r="CH338" s="874"/>
      <c r="CI338" s="798"/>
      <c r="CJ338" s="769"/>
      <c r="CK338" s="769"/>
      <c r="CL338" s="769"/>
      <c r="CM338" s="769"/>
      <c r="CN338" s="799"/>
      <c r="CO338" s="795"/>
      <c r="CP338" s="795"/>
      <c r="CQ338" s="795"/>
      <c r="CR338" s="795"/>
      <c r="CS338" s="823"/>
      <c r="CT338" s="14"/>
    </row>
    <row r="339" spans="1:98" s="4" customFormat="1" ht="75.75" customHeight="1" x14ac:dyDescent="0.35">
      <c r="A339" s="877"/>
      <c r="B339" s="864"/>
      <c r="C339" s="861"/>
      <c r="D339" s="715"/>
      <c r="E339" s="715"/>
      <c r="F339" s="159" t="s">
        <v>886</v>
      </c>
      <c r="G339" s="187" t="s">
        <v>62</v>
      </c>
      <c r="H339" s="139">
        <v>100</v>
      </c>
      <c r="I339" s="139">
        <v>129.5</v>
      </c>
      <c r="J339" s="139">
        <v>129.5</v>
      </c>
      <c r="K339" s="139">
        <v>123.5</v>
      </c>
      <c r="L339" s="139">
        <v>129.5</v>
      </c>
      <c r="M339" s="642">
        <v>133.66</v>
      </c>
      <c r="N339" s="597"/>
      <c r="O339" s="625"/>
      <c r="P339" s="444"/>
      <c r="Q339" s="139">
        <v>129.5</v>
      </c>
      <c r="R339" s="139">
        <v>129.5</v>
      </c>
      <c r="S339" s="139">
        <v>129.5</v>
      </c>
      <c r="T339" s="139">
        <v>129.5</v>
      </c>
      <c r="U339" s="139">
        <v>160.69999999999999</v>
      </c>
      <c r="V339" s="139">
        <v>160.69999999999999</v>
      </c>
      <c r="W339" s="139">
        <v>160.69999999999999</v>
      </c>
      <c r="X339" s="139">
        <v>160.69999999999999</v>
      </c>
      <c r="Y339" s="139">
        <v>160.69999999999999</v>
      </c>
      <c r="Z339" s="139">
        <v>186.3</v>
      </c>
      <c r="AA339" s="827"/>
      <c r="AB339" s="794"/>
      <c r="AC339" s="794"/>
      <c r="AD339" s="794"/>
      <c r="AE339" s="794"/>
      <c r="AF339" s="827"/>
      <c r="AG339" s="794"/>
      <c r="AH339" s="794"/>
      <c r="AI339" s="794"/>
      <c r="AJ339" s="794"/>
      <c r="AK339" s="827"/>
      <c r="AL339" s="794"/>
      <c r="AM339" s="794"/>
      <c r="AN339" s="794"/>
      <c r="AO339" s="794"/>
      <c r="AP339" s="827"/>
      <c r="AQ339" s="794"/>
      <c r="AR339" s="794"/>
      <c r="AS339" s="794"/>
      <c r="AT339" s="794"/>
      <c r="AU339" s="827"/>
      <c r="AV339" s="794"/>
      <c r="AW339" s="794"/>
      <c r="AX339" s="794"/>
      <c r="AY339" s="794"/>
      <c r="AZ339" s="827"/>
      <c r="BA339" s="794"/>
      <c r="BB339" s="794"/>
      <c r="BC339" s="794"/>
      <c r="BD339" s="794"/>
      <c r="BE339" s="827"/>
      <c r="BF339" s="794"/>
      <c r="BG339" s="794"/>
      <c r="BH339" s="794"/>
      <c r="BI339" s="794"/>
      <c r="BJ339" s="827"/>
      <c r="BK339" s="794"/>
      <c r="BL339" s="794"/>
      <c r="BM339" s="794"/>
      <c r="BN339" s="794"/>
      <c r="BO339" s="827"/>
      <c r="BP339" s="794"/>
      <c r="BQ339" s="794"/>
      <c r="BR339" s="794"/>
      <c r="BS339" s="794"/>
      <c r="BT339" s="827"/>
      <c r="BU339" s="794"/>
      <c r="BV339" s="794"/>
      <c r="BW339" s="794"/>
      <c r="BX339" s="794"/>
      <c r="BY339" s="827"/>
      <c r="BZ339" s="794"/>
      <c r="CA339" s="794"/>
      <c r="CB339" s="794"/>
      <c r="CC339" s="794"/>
      <c r="CD339" s="827"/>
      <c r="CE339" s="794"/>
      <c r="CF339" s="794"/>
      <c r="CG339" s="794"/>
      <c r="CH339" s="794"/>
      <c r="CI339" s="768"/>
      <c r="CJ339" s="766"/>
      <c r="CK339" s="766"/>
      <c r="CL339" s="766"/>
      <c r="CM339" s="766"/>
      <c r="CN339" s="774"/>
      <c r="CO339" s="792"/>
      <c r="CP339" s="792"/>
      <c r="CQ339" s="792"/>
      <c r="CR339" s="792"/>
      <c r="CS339" s="776"/>
      <c r="CT339" s="14"/>
    </row>
    <row r="340" spans="1:98" s="4" customFormat="1" ht="192" x14ac:dyDescent="0.35">
      <c r="A340" s="877"/>
      <c r="B340" s="865"/>
      <c r="C340" s="188" t="s">
        <v>698</v>
      </c>
      <c r="D340" s="193" t="s">
        <v>669</v>
      </c>
      <c r="E340" s="193">
        <v>2019</v>
      </c>
      <c r="F340" s="192" t="s">
        <v>699</v>
      </c>
      <c r="G340" s="187" t="s">
        <v>117</v>
      </c>
      <c r="H340" s="527"/>
      <c r="I340" s="96" t="s">
        <v>118</v>
      </c>
      <c r="J340" s="96"/>
      <c r="K340" s="96" t="s">
        <v>118</v>
      </c>
      <c r="L340" s="96"/>
      <c r="M340" s="669" t="s">
        <v>118</v>
      </c>
      <c r="N340" s="597"/>
      <c r="O340" s="625"/>
      <c r="P340" s="444"/>
      <c r="Q340" s="96"/>
      <c r="R340" s="96"/>
      <c r="S340" s="96"/>
      <c r="T340" s="96"/>
      <c r="U340" s="96"/>
      <c r="V340" s="96"/>
      <c r="W340" s="96"/>
      <c r="X340" s="96"/>
      <c r="Y340" s="96"/>
      <c r="Z340" s="96"/>
      <c r="AA340" s="82"/>
      <c r="AB340" s="70"/>
      <c r="AC340" s="70"/>
      <c r="AD340" s="70"/>
      <c r="AE340" s="70"/>
      <c r="AF340" s="82"/>
      <c r="AG340" s="70"/>
      <c r="AH340" s="70"/>
      <c r="AI340" s="70"/>
      <c r="AJ340" s="70"/>
      <c r="AK340" s="82"/>
      <c r="AL340" s="70"/>
      <c r="AM340" s="70"/>
      <c r="AN340" s="70"/>
      <c r="AO340" s="70"/>
      <c r="AP340" s="82"/>
      <c r="AQ340" s="70"/>
      <c r="AR340" s="70"/>
      <c r="AS340" s="70"/>
      <c r="AT340" s="70"/>
      <c r="AU340" s="82"/>
      <c r="AV340" s="70"/>
      <c r="AW340" s="70"/>
      <c r="AX340" s="70"/>
      <c r="AY340" s="70"/>
      <c r="AZ340" s="82"/>
      <c r="BA340" s="70"/>
      <c r="BB340" s="70"/>
      <c r="BC340" s="70"/>
      <c r="BD340" s="70"/>
      <c r="BE340" s="82"/>
      <c r="BF340" s="70"/>
      <c r="BG340" s="70"/>
      <c r="BH340" s="70"/>
      <c r="BI340" s="70"/>
      <c r="BJ340" s="82"/>
      <c r="BK340" s="70"/>
      <c r="BL340" s="70"/>
      <c r="BM340" s="70"/>
      <c r="BN340" s="70"/>
      <c r="BO340" s="82"/>
      <c r="BP340" s="70"/>
      <c r="BQ340" s="70"/>
      <c r="BR340" s="70"/>
      <c r="BS340" s="70"/>
      <c r="BT340" s="82"/>
      <c r="BU340" s="70"/>
      <c r="BV340" s="70"/>
      <c r="BW340" s="70"/>
      <c r="BX340" s="70"/>
      <c r="BY340" s="82"/>
      <c r="BZ340" s="70"/>
      <c r="CA340" s="70"/>
      <c r="CB340" s="70"/>
      <c r="CC340" s="70"/>
      <c r="CD340" s="82"/>
      <c r="CE340" s="70"/>
      <c r="CF340" s="70"/>
      <c r="CG340" s="70"/>
      <c r="CH340" s="70"/>
      <c r="CI340" s="165">
        <f t="shared" ref="CI340" si="799">AA340+AF340+AK340</f>
        <v>0</v>
      </c>
      <c r="CJ340" s="164">
        <f t="shared" ref="CJ340" si="800">AB340+AG340+AL340</f>
        <v>0</v>
      </c>
      <c r="CK340" s="164">
        <f t="shared" ref="CK340" si="801">AC340+AH340+AM340</f>
        <v>0</v>
      </c>
      <c r="CL340" s="164">
        <f t="shared" ref="CL340" si="802">AD340+AI340+AN340</f>
        <v>0</v>
      </c>
      <c r="CM340" s="164">
        <f t="shared" ref="CM340" si="803">AE340+AJ340+AO340</f>
        <v>0</v>
      </c>
      <c r="CN340" s="181">
        <f t="shared" ref="CN340:CR342" si="804">AA340+AF340+AK340+AP340+AU340+AZ340+BE340+BJ340+BO340+BT340+BY340+CD340</f>
        <v>0</v>
      </c>
      <c r="CO340" s="180">
        <f t="shared" si="804"/>
        <v>0</v>
      </c>
      <c r="CP340" s="180">
        <f t="shared" si="804"/>
        <v>0</v>
      </c>
      <c r="CQ340" s="180">
        <f t="shared" si="804"/>
        <v>0</v>
      </c>
      <c r="CR340" s="180">
        <f t="shared" si="804"/>
        <v>0</v>
      </c>
      <c r="CS340" s="273">
        <f>CN340-CO340-CP340-CQ340-CR340</f>
        <v>0</v>
      </c>
      <c r="CT340" s="14"/>
    </row>
    <row r="341" spans="1:98" s="4" customFormat="1" ht="118.5" customHeight="1" x14ac:dyDescent="0.35">
      <c r="A341" s="877"/>
      <c r="B341" s="865"/>
      <c r="C341" s="188" t="s">
        <v>700</v>
      </c>
      <c r="D341" s="193" t="s">
        <v>669</v>
      </c>
      <c r="E341" s="193" t="s">
        <v>52</v>
      </c>
      <c r="F341" s="192" t="s">
        <v>685</v>
      </c>
      <c r="G341" s="187" t="s">
        <v>686</v>
      </c>
      <c r="H341" s="527"/>
      <c r="I341" s="187">
        <v>730</v>
      </c>
      <c r="J341" s="637">
        <v>735</v>
      </c>
      <c r="K341" s="289">
        <v>756</v>
      </c>
      <c r="L341" s="637">
        <v>740</v>
      </c>
      <c r="M341" s="643">
        <v>752</v>
      </c>
      <c r="N341" s="597"/>
      <c r="O341" s="625"/>
      <c r="P341" s="444"/>
      <c r="Q341" s="187">
        <v>740</v>
      </c>
      <c r="R341" s="187">
        <v>750</v>
      </c>
      <c r="S341" s="187">
        <v>750</v>
      </c>
      <c r="T341" s="187">
        <v>750</v>
      </c>
      <c r="U341" s="187">
        <v>760</v>
      </c>
      <c r="V341" s="187">
        <v>760</v>
      </c>
      <c r="W341" s="187">
        <v>760</v>
      </c>
      <c r="X341" s="187">
        <v>760</v>
      </c>
      <c r="Y341" s="187">
        <v>760</v>
      </c>
      <c r="Z341" s="187">
        <v>760</v>
      </c>
      <c r="AA341" s="82"/>
      <c r="AB341" s="70"/>
      <c r="AC341" s="70"/>
      <c r="AD341" s="70"/>
      <c r="AE341" s="70"/>
      <c r="AF341" s="82"/>
      <c r="AG341" s="70"/>
      <c r="AH341" s="70"/>
      <c r="AI341" s="70"/>
      <c r="AJ341" s="70"/>
      <c r="AK341" s="82"/>
      <c r="AL341" s="70"/>
      <c r="AM341" s="70"/>
      <c r="AN341" s="70"/>
      <c r="AO341" s="70"/>
      <c r="AP341" s="82"/>
      <c r="AQ341" s="70"/>
      <c r="AR341" s="70"/>
      <c r="AS341" s="70"/>
      <c r="AT341" s="70"/>
      <c r="AU341" s="82"/>
      <c r="AV341" s="70"/>
      <c r="AW341" s="70"/>
      <c r="AX341" s="70"/>
      <c r="AY341" s="70"/>
      <c r="AZ341" s="82"/>
      <c r="BA341" s="70"/>
      <c r="BB341" s="70"/>
      <c r="BC341" s="70"/>
      <c r="BD341" s="70"/>
      <c r="BE341" s="82"/>
      <c r="BF341" s="70"/>
      <c r="BG341" s="70"/>
      <c r="BH341" s="70"/>
      <c r="BI341" s="70"/>
      <c r="BJ341" s="82"/>
      <c r="BK341" s="70"/>
      <c r="BL341" s="70"/>
      <c r="BM341" s="70"/>
      <c r="BN341" s="70"/>
      <c r="BO341" s="82"/>
      <c r="BP341" s="70"/>
      <c r="BQ341" s="70"/>
      <c r="BR341" s="70"/>
      <c r="BS341" s="70"/>
      <c r="BT341" s="82"/>
      <c r="BU341" s="70"/>
      <c r="BV341" s="70"/>
      <c r="BW341" s="70"/>
      <c r="BX341" s="70"/>
      <c r="BY341" s="82"/>
      <c r="BZ341" s="70"/>
      <c r="CA341" s="70"/>
      <c r="CB341" s="70"/>
      <c r="CC341" s="70"/>
      <c r="CD341" s="82"/>
      <c r="CE341" s="70"/>
      <c r="CF341" s="70"/>
      <c r="CG341" s="70"/>
      <c r="CH341" s="70"/>
      <c r="CI341" s="165">
        <f t="shared" ref="CI341" si="805">AA341+AF341+AK341</f>
        <v>0</v>
      </c>
      <c r="CJ341" s="164">
        <f t="shared" ref="CJ341:CJ342" si="806">AB341+AG341+AL341</f>
        <v>0</v>
      </c>
      <c r="CK341" s="164">
        <f t="shared" ref="CK341:CK342" si="807">AC341+AH341+AM341</f>
        <v>0</v>
      </c>
      <c r="CL341" s="164">
        <f t="shared" ref="CL341:CL342" si="808">AD341+AI341+AN341</f>
        <v>0</v>
      </c>
      <c r="CM341" s="164">
        <f t="shared" ref="CM341:CM342" si="809">AE341+AJ341+AO341</f>
        <v>0</v>
      </c>
      <c r="CN341" s="181">
        <f t="shared" si="804"/>
        <v>0</v>
      </c>
      <c r="CO341" s="180">
        <f t="shared" si="804"/>
        <v>0</v>
      </c>
      <c r="CP341" s="180">
        <f t="shared" si="804"/>
        <v>0</v>
      </c>
      <c r="CQ341" s="180">
        <f t="shared" si="804"/>
        <v>0</v>
      </c>
      <c r="CR341" s="180">
        <f t="shared" si="804"/>
        <v>0</v>
      </c>
      <c r="CS341" s="273">
        <f>CN341-CO341-CP341-CQ341-CR341</f>
        <v>0</v>
      </c>
      <c r="CT341" s="14"/>
    </row>
    <row r="342" spans="1:98" s="4" customFormat="1" ht="132.75" customHeight="1" x14ac:dyDescent="0.35">
      <c r="A342" s="190" t="s">
        <v>694</v>
      </c>
      <c r="B342" s="54" t="s">
        <v>702</v>
      </c>
      <c r="C342" s="859" t="s">
        <v>703</v>
      </c>
      <c r="D342" s="193" t="s">
        <v>1132</v>
      </c>
      <c r="E342" s="193" t="s">
        <v>273</v>
      </c>
      <c r="F342" s="97" t="s">
        <v>704</v>
      </c>
      <c r="G342" s="187" t="s">
        <v>74</v>
      </c>
      <c r="H342" s="527"/>
      <c r="I342" s="76">
        <v>1021</v>
      </c>
      <c r="J342" s="76">
        <v>1100</v>
      </c>
      <c r="K342" s="76">
        <v>1440</v>
      </c>
      <c r="L342" s="76"/>
      <c r="M342" s="659">
        <v>1568</v>
      </c>
      <c r="N342" s="597"/>
      <c r="O342" s="625"/>
      <c r="P342" s="444"/>
      <c r="Q342" s="193"/>
      <c r="R342" s="193"/>
      <c r="S342" s="193"/>
      <c r="T342" s="193"/>
      <c r="U342" s="193"/>
      <c r="V342" s="193"/>
      <c r="W342" s="193"/>
      <c r="X342" s="193"/>
      <c r="Y342" s="193"/>
      <c r="Z342" s="193"/>
      <c r="AA342" s="826">
        <f>SUM(AB342:AE343)</f>
        <v>520.79999999999995</v>
      </c>
      <c r="AB342" s="793"/>
      <c r="AC342" s="793">
        <v>520.79999999999995</v>
      </c>
      <c r="AD342" s="793"/>
      <c r="AE342" s="793"/>
      <c r="AF342" s="826">
        <f>SUM(AG342:AJ342)</f>
        <v>0</v>
      </c>
      <c r="AG342" s="793"/>
      <c r="AH342" s="793"/>
      <c r="AI342" s="793"/>
      <c r="AJ342" s="793"/>
      <c r="AK342" s="826"/>
      <c r="AL342" s="793"/>
      <c r="AM342" s="793"/>
      <c r="AN342" s="793"/>
      <c r="AO342" s="793"/>
      <c r="AP342" s="826"/>
      <c r="AQ342" s="793"/>
      <c r="AR342" s="793"/>
      <c r="AS342" s="793"/>
      <c r="AT342" s="793"/>
      <c r="AU342" s="826"/>
      <c r="AV342" s="793"/>
      <c r="AW342" s="793"/>
      <c r="AX342" s="793"/>
      <c r="AY342" s="793"/>
      <c r="AZ342" s="826"/>
      <c r="BA342" s="793"/>
      <c r="BB342" s="793"/>
      <c r="BC342" s="793"/>
      <c r="BD342" s="793"/>
      <c r="BE342" s="826"/>
      <c r="BF342" s="793"/>
      <c r="BG342" s="793"/>
      <c r="BH342" s="793"/>
      <c r="BI342" s="793"/>
      <c r="BJ342" s="826"/>
      <c r="BK342" s="793"/>
      <c r="BL342" s="793"/>
      <c r="BM342" s="793"/>
      <c r="BN342" s="793"/>
      <c r="BO342" s="826"/>
      <c r="BP342" s="793"/>
      <c r="BQ342" s="793"/>
      <c r="BR342" s="793"/>
      <c r="BS342" s="793"/>
      <c r="BT342" s="826"/>
      <c r="BU342" s="793"/>
      <c r="BV342" s="793"/>
      <c r="BW342" s="793"/>
      <c r="BX342" s="793"/>
      <c r="BY342" s="826"/>
      <c r="BZ342" s="793"/>
      <c r="CA342" s="793"/>
      <c r="CB342" s="793"/>
      <c r="CC342" s="793"/>
      <c r="CD342" s="826"/>
      <c r="CE342" s="793"/>
      <c r="CF342" s="793"/>
      <c r="CG342" s="793"/>
      <c r="CH342" s="793"/>
      <c r="CI342" s="767">
        <f>AA342+AF342+AK342</f>
        <v>520.79999999999995</v>
      </c>
      <c r="CJ342" s="765">
        <f t="shared" si="806"/>
        <v>0</v>
      </c>
      <c r="CK342" s="765">
        <f t="shared" si="807"/>
        <v>520.79999999999995</v>
      </c>
      <c r="CL342" s="765">
        <f t="shared" si="808"/>
        <v>0</v>
      </c>
      <c r="CM342" s="765">
        <f t="shared" si="809"/>
        <v>0</v>
      </c>
      <c r="CN342" s="773">
        <f t="shared" si="804"/>
        <v>520.79999999999995</v>
      </c>
      <c r="CO342" s="791">
        <f t="shared" si="804"/>
        <v>0</v>
      </c>
      <c r="CP342" s="791">
        <f t="shared" si="804"/>
        <v>520.79999999999995</v>
      </c>
      <c r="CQ342" s="791">
        <f t="shared" si="804"/>
        <v>0</v>
      </c>
      <c r="CR342" s="791">
        <f t="shared" si="804"/>
        <v>0</v>
      </c>
      <c r="CS342" s="775">
        <f>CN342-CO342-CP342-CQ342-CR342</f>
        <v>0</v>
      </c>
      <c r="CT342" s="14"/>
    </row>
    <row r="343" spans="1:98" s="4" customFormat="1" ht="180" customHeight="1" x14ac:dyDescent="0.3">
      <c r="A343" s="190" t="s">
        <v>701</v>
      </c>
      <c r="B343" s="54" t="s">
        <v>706</v>
      </c>
      <c r="C343" s="861"/>
      <c r="D343" s="193" t="s">
        <v>1132</v>
      </c>
      <c r="E343" s="193" t="s">
        <v>273</v>
      </c>
      <c r="F343" s="97" t="s">
        <v>707</v>
      </c>
      <c r="G343" s="187" t="s">
        <v>74</v>
      </c>
      <c r="H343" s="527"/>
      <c r="I343" s="76">
        <v>3</v>
      </c>
      <c r="J343" s="76">
        <v>5</v>
      </c>
      <c r="K343" s="76">
        <v>5</v>
      </c>
      <c r="L343" s="76"/>
      <c r="M343" s="659">
        <v>5</v>
      </c>
      <c r="N343" s="598" t="s">
        <v>1582</v>
      </c>
      <c r="O343" s="617" t="s">
        <v>1631</v>
      </c>
      <c r="P343" s="557"/>
      <c r="Q343" s="193"/>
      <c r="R343" s="193"/>
      <c r="S343" s="193"/>
      <c r="T343" s="193"/>
      <c r="U343" s="193"/>
      <c r="V343" s="193"/>
      <c r="W343" s="193"/>
      <c r="X343" s="193"/>
      <c r="Y343" s="193"/>
      <c r="Z343" s="193"/>
      <c r="AA343" s="827"/>
      <c r="AB343" s="794"/>
      <c r="AC343" s="794"/>
      <c r="AD343" s="794"/>
      <c r="AE343" s="794"/>
      <c r="AF343" s="827"/>
      <c r="AG343" s="794"/>
      <c r="AH343" s="794"/>
      <c r="AI343" s="794"/>
      <c r="AJ343" s="794"/>
      <c r="AK343" s="827"/>
      <c r="AL343" s="794"/>
      <c r="AM343" s="794"/>
      <c r="AN343" s="794"/>
      <c r="AO343" s="794"/>
      <c r="AP343" s="827"/>
      <c r="AQ343" s="794"/>
      <c r="AR343" s="794"/>
      <c r="AS343" s="794"/>
      <c r="AT343" s="794"/>
      <c r="AU343" s="827"/>
      <c r="AV343" s="794"/>
      <c r="AW343" s="794"/>
      <c r="AX343" s="794"/>
      <c r="AY343" s="794"/>
      <c r="AZ343" s="827"/>
      <c r="BA343" s="794"/>
      <c r="BB343" s="794"/>
      <c r="BC343" s="794"/>
      <c r="BD343" s="794"/>
      <c r="BE343" s="827"/>
      <c r="BF343" s="794"/>
      <c r="BG343" s="794"/>
      <c r="BH343" s="794"/>
      <c r="BI343" s="794"/>
      <c r="BJ343" s="827"/>
      <c r="BK343" s="794"/>
      <c r="BL343" s="794"/>
      <c r="BM343" s="794"/>
      <c r="BN343" s="794"/>
      <c r="BO343" s="827"/>
      <c r="BP343" s="794"/>
      <c r="BQ343" s="794"/>
      <c r="BR343" s="794"/>
      <c r="BS343" s="794"/>
      <c r="BT343" s="827"/>
      <c r="BU343" s="794"/>
      <c r="BV343" s="794"/>
      <c r="BW343" s="794"/>
      <c r="BX343" s="794"/>
      <c r="BY343" s="827"/>
      <c r="BZ343" s="794"/>
      <c r="CA343" s="794"/>
      <c r="CB343" s="794"/>
      <c r="CC343" s="794"/>
      <c r="CD343" s="827"/>
      <c r="CE343" s="794"/>
      <c r="CF343" s="794"/>
      <c r="CG343" s="794"/>
      <c r="CH343" s="794"/>
      <c r="CI343" s="768"/>
      <c r="CJ343" s="766"/>
      <c r="CK343" s="766"/>
      <c r="CL343" s="766"/>
      <c r="CM343" s="766"/>
      <c r="CN343" s="774"/>
      <c r="CO343" s="792"/>
      <c r="CP343" s="792"/>
      <c r="CQ343" s="792"/>
      <c r="CR343" s="792"/>
      <c r="CS343" s="776"/>
      <c r="CT343" s="14"/>
    </row>
    <row r="344" spans="1:98" s="4" customFormat="1" ht="144" x14ac:dyDescent="0.35">
      <c r="A344" s="459" t="s">
        <v>705</v>
      </c>
      <c r="B344" s="460" t="s">
        <v>708</v>
      </c>
      <c r="C344" s="455" t="s">
        <v>709</v>
      </c>
      <c r="D344" s="463" t="s">
        <v>98</v>
      </c>
      <c r="E344" s="463" t="s">
        <v>52</v>
      </c>
      <c r="F344" s="61" t="s">
        <v>1225</v>
      </c>
      <c r="G344" s="468" t="s">
        <v>117</v>
      </c>
      <c r="H344" s="528"/>
      <c r="I344" s="467" t="s">
        <v>118</v>
      </c>
      <c r="J344" s="639" t="s">
        <v>118</v>
      </c>
      <c r="K344" s="467" t="s">
        <v>118</v>
      </c>
      <c r="L344" s="639" t="s">
        <v>118</v>
      </c>
      <c r="M344" s="654" t="s">
        <v>118</v>
      </c>
      <c r="N344" s="597"/>
      <c r="O344" s="625"/>
      <c r="P344" s="444"/>
      <c r="Q344" s="467" t="s">
        <v>118</v>
      </c>
      <c r="R344" s="467" t="s">
        <v>118</v>
      </c>
      <c r="S344" s="467" t="s">
        <v>118</v>
      </c>
      <c r="T344" s="467" t="s">
        <v>118</v>
      </c>
      <c r="U344" s="467" t="s">
        <v>118</v>
      </c>
      <c r="V344" s="467" t="s">
        <v>118</v>
      </c>
      <c r="W344" s="467" t="s">
        <v>118</v>
      </c>
      <c r="X344" s="467" t="s">
        <v>118</v>
      </c>
      <c r="Y344" s="467" t="s">
        <v>118</v>
      </c>
      <c r="Z344" s="467" t="s">
        <v>118</v>
      </c>
      <c r="AA344" s="82">
        <v>195000</v>
      </c>
      <c r="AB344" s="70"/>
      <c r="AC344" s="70"/>
      <c r="AD344" s="70"/>
      <c r="AE344" s="451">
        <v>195000</v>
      </c>
      <c r="AF344" s="82">
        <v>195000</v>
      </c>
      <c r="AG344" s="70"/>
      <c r="AH344" s="70"/>
      <c r="AI344" s="70"/>
      <c r="AJ344" s="451">
        <v>195000</v>
      </c>
      <c r="AK344" s="82">
        <v>195000</v>
      </c>
      <c r="AL344" s="70"/>
      <c r="AM344" s="70"/>
      <c r="AN344" s="70"/>
      <c r="AO344" s="451">
        <v>195000</v>
      </c>
      <c r="AP344" s="82">
        <v>195000</v>
      </c>
      <c r="AQ344" s="70"/>
      <c r="AR344" s="70"/>
      <c r="AS344" s="70"/>
      <c r="AT344" s="451">
        <v>195000</v>
      </c>
      <c r="AU344" s="82">
        <v>195000</v>
      </c>
      <c r="AV344" s="70"/>
      <c r="AW344" s="70"/>
      <c r="AX344" s="70"/>
      <c r="AY344" s="451">
        <v>195000</v>
      </c>
      <c r="AZ344" s="82">
        <v>195000</v>
      </c>
      <c r="BA344" s="70"/>
      <c r="BB344" s="70"/>
      <c r="BC344" s="70"/>
      <c r="BD344" s="451">
        <v>195000</v>
      </c>
      <c r="BE344" s="82">
        <v>195000</v>
      </c>
      <c r="BF344" s="70"/>
      <c r="BG344" s="70"/>
      <c r="BH344" s="70"/>
      <c r="BI344" s="451">
        <v>195000</v>
      </c>
      <c r="BJ344" s="82">
        <v>195000</v>
      </c>
      <c r="BK344" s="70"/>
      <c r="BL344" s="70"/>
      <c r="BM344" s="70"/>
      <c r="BN344" s="451">
        <v>195000</v>
      </c>
      <c r="BO344" s="82">
        <v>195000</v>
      </c>
      <c r="BP344" s="70"/>
      <c r="BQ344" s="70"/>
      <c r="BR344" s="70"/>
      <c r="BS344" s="451">
        <v>195000</v>
      </c>
      <c r="BT344" s="82">
        <v>195000</v>
      </c>
      <c r="BU344" s="70"/>
      <c r="BV344" s="70"/>
      <c r="BW344" s="70"/>
      <c r="BX344" s="451">
        <v>195000</v>
      </c>
      <c r="BY344" s="82">
        <v>195000</v>
      </c>
      <c r="BZ344" s="70"/>
      <c r="CA344" s="70"/>
      <c r="CB344" s="70"/>
      <c r="CC344" s="451">
        <v>195000</v>
      </c>
      <c r="CD344" s="82">
        <v>195000</v>
      </c>
      <c r="CE344" s="70"/>
      <c r="CF344" s="70"/>
      <c r="CG344" s="70"/>
      <c r="CH344" s="451">
        <v>195000</v>
      </c>
      <c r="CI344" s="466">
        <f>AA344+AF344+AK344</f>
        <v>585000</v>
      </c>
      <c r="CJ344" s="451">
        <f t="shared" ref="CJ344:CM344" si="810">AB344+AG344+AL344</f>
        <v>0</v>
      </c>
      <c r="CK344" s="451">
        <f t="shared" si="810"/>
        <v>0</v>
      </c>
      <c r="CL344" s="451">
        <f t="shared" si="810"/>
        <v>0</v>
      </c>
      <c r="CM344" s="451">
        <f t="shared" si="810"/>
        <v>585000</v>
      </c>
      <c r="CN344" s="456">
        <f>AA344+AF344+AK344+AP344+AU344+AZ344+BE344+BJ344+BO344+BT344+BY344+CD344</f>
        <v>2340000</v>
      </c>
      <c r="CO344" s="457">
        <f>AB344+AG344+AL344+AQ344+AV344+BA344+BF344+BK344+BP344+BU344+BZ344+CE344</f>
        <v>0</v>
      </c>
      <c r="CP344" s="457">
        <f>AC344+AH344+AM344+AR344+AW344+BB344+BG344+BL344+BQ344+BV344+CA344+CF344</f>
        <v>0</v>
      </c>
      <c r="CQ344" s="457">
        <f>AD344+AI344+AN344+AS344+AX344+BC344+BH344+BM344+BR344+BW344+CB344+CG344</f>
        <v>0</v>
      </c>
      <c r="CR344" s="457">
        <f>AE344+AJ344+AO344+AT344+AY344+BD344+BI344+BN344+BS344+BX344+CC344+CH344</f>
        <v>2340000</v>
      </c>
      <c r="CS344" s="456">
        <f>CN344-CO344-CP344-CQ344-CR344</f>
        <v>0</v>
      </c>
      <c r="CT344" s="14"/>
    </row>
    <row r="345" spans="1:98" x14ac:dyDescent="0.3">
      <c r="A345" s="362" t="s">
        <v>710</v>
      </c>
      <c r="B345" s="813" t="s">
        <v>711</v>
      </c>
      <c r="C345" s="813"/>
      <c r="D345" s="813"/>
      <c r="E345" s="813"/>
      <c r="F345" s="813"/>
      <c r="G345" s="813"/>
      <c r="H345" s="813"/>
      <c r="I345" s="813"/>
      <c r="J345" s="813"/>
      <c r="K345" s="813"/>
      <c r="L345" s="813"/>
      <c r="M345" s="813"/>
      <c r="N345" s="813"/>
      <c r="O345" s="813"/>
      <c r="P345" s="813"/>
      <c r="Q345" s="813"/>
      <c r="R345" s="813"/>
      <c r="S345" s="813"/>
      <c r="T345" s="813"/>
      <c r="U345" s="813"/>
      <c r="V345" s="813"/>
      <c r="W345" s="813"/>
      <c r="X345" s="813"/>
      <c r="Y345" s="813"/>
      <c r="Z345" s="813"/>
      <c r="AA345" s="813"/>
      <c r="AB345" s="813"/>
      <c r="AC345" s="813"/>
      <c r="AD345" s="813"/>
      <c r="AE345" s="813"/>
      <c r="AF345" s="813"/>
      <c r="AG345" s="813"/>
      <c r="AH345" s="813"/>
      <c r="AI345" s="813"/>
      <c r="AJ345" s="813"/>
      <c r="AK345" s="813"/>
      <c r="AL345" s="813"/>
      <c r="AM345" s="813"/>
      <c r="AN345" s="813"/>
      <c r="AO345" s="813"/>
      <c r="AP345" s="813"/>
      <c r="AQ345" s="813"/>
      <c r="AR345" s="813"/>
      <c r="AS345" s="813"/>
      <c r="AT345" s="813"/>
      <c r="AU345" s="813"/>
      <c r="AV345" s="813"/>
      <c r="AW345" s="813"/>
      <c r="AX345" s="813"/>
      <c r="AY345" s="813"/>
      <c r="AZ345" s="813"/>
      <c r="BA345" s="813"/>
      <c r="BB345" s="813"/>
      <c r="BC345" s="813"/>
      <c r="BD345" s="813"/>
      <c r="BE345" s="813"/>
      <c r="BF345" s="813"/>
      <c r="BG345" s="813"/>
      <c r="BH345" s="813"/>
      <c r="BI345" s="813"/>
      <c r="BJ345" s="813"/>
      <c r="BK345" s="813"/>
      <c r="BL345" s="813"/>
      <c r="BM345" s="813"/>
      <c r="BN345" s="813"/>
      <c r="BO345" s="813"/>
      <c r="BP345" s="813"/>
      <c r="BQ345" s="813"/>
      <c r="BR345" s="813"/>
      <c r="BS345" s="813"/>
      <c r="BT345" s="813"/>
      <c r="BU345" s="813"/>
      <c r="BV345" s="813"/>
      <c r="BW345" s="813"/>
      <c r="BX345" s="813"/>
      <c r="BY345" s="813"/>
      <c r="BZ345" s="813"/>
      <c r="CA345" s="813"/>
      <c r="CB345" s="813"/>
      <c r="CC345" s="813"/>
      <c r="CD345" s="813"/>
      <c r="CE345" s="813"/>
      <c r="CF345" s="813"/>
      <c r="CG345" s="813"/>
      <c r="CH345" s="813"/>
      <c r="CI345" s="813"/>
      <c r="CJ345" s="813"/>
      <c r="CK345" s="813"/>
      <c r="CL345" s="813"/>
      <c r="CM345" s="813"/>
      <c r="CN345" s="277">
        <f>CN346+CN347+CN348+CN349+CN350+CN351+CN352</f>
        <v>221615</v>
      </c>
      <c r="CO345" s="277">
        <f t="shared" ref="CO345:CS345" si="811">CO346+CO347+CO348+CO349+CO350+CO351+CO352</f>
        <v>10000</v>
      </c>
      <c r="CP345" s="277">
        <f t="shared" si="811"/>
        <v>0</v>
      </c>
      <c r="CQ345" s="277">
        <f t="shared" si="811"/>
        <v>0</v>
      </c>
      <c r="CR345" s="277">
        <f t="shared" si="811"/>
        <v>211615</v>
      </c>
      <c r="CS345" s="273">
        <f t="shared" si="811"/>
        <v>0</v>
      </c>
    </row>
    <row r="346" spans="1:98" s="4" customFormat="1" ht="240" x14ac:dyDescent="0.3">
      <c r="A346" s="195" t="s">
        <v>712</v>
      </c>
      <c r="B346" s="182" t="s">
        <v>713</v>
      </c>
      <c r="C346" s="188" t="s">
        <v>1364</v>
      </c>
      <c r="D346" s="148" t="s">
        <v>1133</v>
      </c>
      <c r="E346" s="50">
        <v>2019</v>
      </c>
      <c r="F346" s="192" t="s">
        <v>1018</v>
      </c>
      <c r="G346" s="50" t="s">
        <v>31</v>
      </c>
      <c r="H346" s="528"/>
      <c r="I346" s="50">
        <v>260</v>
      </c>
      <c r="J346" s="630"/>
      <c r="K346" s="286"/>
      <c r="L346" s="630"/>
      <c r="M346" s="702"/>
      <c r="N346" s="628"/>
      <c r="O346" s="628"/>
      <c r="P346" s="582"/>
      <c r="Q346" s="50"/>
      <c r="R346" s="50"/>
      <c r="S346" s="50"/>
      <c r="T346" s="50">
        <v>260</v>
      </c>
      <c r="U346" s="50"/>
      <c r="V346" s="50"/>
      <c r="W346" s="50"/>
      <c r="X346" s="50"/>
      <c r="Y346" s="50">
        <v>260</v>
      </c>
      <c r="Z346" s="50"/>
      <c r="AA346" s="82">
        <f>SUM(AB346:AE346)</f>
        <v>3915</v>
      </c>
      <c r="AB346" s="55"/>
      <c r="AC346" s="55"/>
      <c r="AD346" s="55"/>
      <c r="AE346" s="55">
        <v>3915</v>
      </c>
      <c r="AF346" s="82"/>
      <c r="AG346" s="55"/>
      <c r="AH346" s="55"/>
      <c r="AI346" s="55"/>
      <c r="AJ346" s="55"/>
      <c r="AK346" s="82"/>
      <c r="AL346" s="55"/>
      <c r="AM346" s="55"/>
      <c r="AN346" s="55"/>
      <c r="AO346" s="55"/>
      <c r="AP346" s="82"/>
      <c r="AQ346" s="55"/>
      <c r="AR346" s="55"/>
      <c r="AS346" s="55"/>
      <c r="AT346" s="55"/>
      <c r="AU346" s="82"/>
      <c r="AV346" s="55"/>
      <c r="AW346" s="55"/>
      <c r="AX346" s="55"/>
      <c r="AY346" s="55"/>
      <c r="AZ346" s="82"/>
      <c r="BA346" s="55"/>
      <c r="BB346" s="55"/>
      <c r="BC346" s="55"/>
      <c r="BD346" s="55"/>
      <c r="BE346" s="82"/>
      <c r="BF346" s="55"/>
      <c r="BG346" s="55"/>
      <c r="BH346" s="55"/>
      <c r="BI346" s="55"/>
      <c r="BJ346" s="82"/>
      <c r="BK346" s="55"/>
      <c r="BL346" s="55"/>
      <c r="BM346" s="55"/>
      <c r="BN346" s="55"/>
      <c r="BO346" s="82"/>
      <c r="BP346" s="55"/>
      <c r="BQ346" s="55"/>
      <c r="BR346" s="55"/>
      <c r="BS346" s="55"/>
      <c r="BT346" s="82"/>
      <c r="BU346" s="55"/>
      <c r="BV346" s="55"/>
      <c r="BW346" s="55"/>
      <c r="BX346" s="55"/>
      <c r="BY346" s="82"/>
      <c r="BZ346" s="55"/>
      <c r="CA346" s="55"/>
      <c r="CB346" s="55"/>
      <c r="CC346" s="55"/>
      <c r="CD346" s="82"/>
      <c r="CE346" s="55"/>
      <c r="CF346" s="55"/>
      <c r="CG346" s="55"/>
      <c r="CH346" s="55"/>
      <c r="CI346" s="165">
        <f>AA346+AF346+AK346</f>
        <v>3915</v>
      </c>
      <c r="CJ346" s="164">
        <f t="shared" ref="CJ346" si="812">AB346+AG346+AL346</f>
        <v>0</v>
      </c>
      <c r="CK346" s="164">
        <f t="shared" ref="CK346" si="813">AC346+AH346+AM346</f>
        <v>0</v>
      </c>
      <c r="CL346" s="164">
        <f t="shared" ref="CL346" si="814">AD346+AI346+AN346</f>
        <v>0</v>
      </c>
      <c r="CM346" s="164">
        <f t="shared" ref="CM346" si="815">AE346+AJ346+AO346</f>
        <v>3915</v>
      </c>
      <c r="CN346" s="181">
        <f t="shared" ref="CN346:CR352" si="816">AA346+AF346+AK346+AP346+AU346+AZ346+BE346+BJ346+BO346+BT346+BY346+CD346</f>
        <v>3915</v>
      </c>
      <c r="CO346" s="180">
        <f t="shared" si="816"/>
        <v>0</v>
      </c>
      <c r="CP346" s="180">
        <f t="shared" si="816"/>
        <v>0</v>
      </c>
      <c r="CQ346" s="180">
        <f t="shared" si="816"/>
        <v>0</v>
      </c>
      <c r="CR346" s="180">
        <f t="shared" si="816"/>
        <v>3915</v>
      </c>
      <c r="CS346" s="273">
        <f>CN346-CO346-CP346-CQ346-CR346</f>
        <v>0</v>
      </c>
      <c r="CT346" s="14"/>
    </row>
    <row r="347" spans="1:98" s="4" customFormat="1" ht="312" x14ac:dyDescent="0.3">
      <c r="A347" s="195" t="s">
        <v>714</v>
      </c>
      <c r="B347" s="182" t="s">
        <v>715</v>
      </c>
      <c r="C347" s="182" t="s">
        <v>1365</v>
      </c>
      <c r="D347" s="148" t="s">
        <v>1133</v>
      </c>
      <c r="E347" s="193" t="s">
        <v>52</v>
      </c>
      <c r="F347" s="74" t="s">
        <v>831</v>
      </c>
      <c r="G347" s="50" t="s">
        <v>74</v>
      </c>
      <c r="H347" s="528"/>
      <c r="I347" s="43">
        <v>500</v>
      </c>
      <c r="J347" s="639">
        <v>500</v>
      </c>
      <c r="K347" s="65">
        <v>1039</v>
      </c>
      <c r="L347" s="639">
        <v>500</v>
      </c>
      <c r="M347" s="653">
        <v>1300</v>
      </c>
      <c r="N347" s="589" t="s">
        <v>1583</v>
      </c>
      <c r="O347" s="617"/>
      <c r="P347" s="589"/>
      <c r="Q347" s="43">
        <v>500</v>
      </c>
      <c r="R347" s="43">
        <v>500</v>
      </c>
      <c r="S347" s="43">
        <v>500</v>
      </c>
      <c r="T347" s="43">
        <v>500</v>
      </c>
      <c r="U347" s="43">
        <v>500</v>
      </c>
      <c r="V347" s="43">
        <v>500</v>
      </c>
      <c r="W347" s="43">
        <v>500</v>
      </c>
      <c r="X347" s="43">
        <v>500</v>
      </c>
      <c r="Y347" s="43">
        <v>500</v>
      </c>
      <c r="Z347" s="43">
        <v>500</v>
      </c>
      <c r="AA347" s="82">
        <f>SUM(AB347:AE347)</f>
        <v>6200</v>
      </c>
      <c r="AB347" s="55"/>
      <c r="AC347" s="55"/>
      <c r="AD347" s="55"/>
      <c r="AE347" s="55">
        <v>6200</v>
      </c>
      <c r="AF347" s="82"/>
      <c r="AG347" s="55"/>
      <c r="AH347" s="55"/>
      <c r="AI347" s="55"/>
      <c r="AJ347" s="55"/>
      <c r="AK347" s="82"/>
      <c r="AL347" s="55"/>
      <c r="AM347" s="55"/>
      <c r="AN347" s="55"/>
      <c r="AO347" s="55"/>
      <c r="AP347" s="82"/>
      <c r="AQ347" s="55"/>
      <c r="AR347" s="55"/>
      <c r="AS347" s="55"/>
      <c r="AT347" s="55"/>
      <c r="AU347" s="82"/>
      <c r="AV347" s="55"/>
      <c r="AW347" s="55"/>
      <c r="AX347" s="55"/>
      <c r="AY347" s="55"/>
      <c r="AZ347" s="82"/>
      <c r="BA347" s="55"/>
      <c r="BB347" s="55"/>
      <c r="BC347" s="55"/>
      <c r="BD347" s="55"/>
      <c r="BE347" s="82"/>
      <c r="BF347" s="55"/>
      <c r="BG347" s="55"/>
      <c r="BH347" s="55"/>
      <c r="BI347" s="55"/>
      <c r="BJ347" s="82"/>
      <c r="BK347" s="55"/>
      <c r="BL347" s="55"/>
      <c r="BM347" s="55"/>
      <c r="BN347" s="55"/>
      <c r="BO347" s="82"/>
      <c r="BP347" s="55"/>
      <c r="BQ347" s="55"/>
      <c r="BR347" s="55"/>
      <c r="BS347" s="55"/>
      <c r="BT347" s="82"/>
      <c r="BU347" s="55"/>
      <c r="BV347" s="55"/>
      <c r="BW347" s="55"/>
      <c r="BX347" s="55"/>
      <c r="BY347" s="82"/>
      <c r="BZ347" s="55"/>
      <c r="CA347" s="55"/>
      <c r="CB347" s="55"/>
      <c r="CC347" s="55"/>
      <c r="CD347" s="82"/>
      <c r="CE347" s="55"/>
      <c r="CF347" s="55"/>
      <c r="CG347" s="55"/>
      <c r="CH347" s="55"/>
      <c r="CI347" s="165">
        <f t="shared" ref="CI347:CI352" si="817">AA347+AF347+AK347</f>
        <v>6200</v>
      </c>
      <c r="CJ347" s="164">
        <f t="shared" ref="CJ347:CJ352" si="818">AB347+AG347+AL347</f>
        <v>0</v>
      </c>
      <c r="CK347" s="164">
        <f t="shared" ref="CK347:CK352" si="819">AC347+AH347+AM347</f>
        <v>0</v>
      </c>
      <c r="CL347" s="164">
        <f t="shared" ref="CL347:CL352" si="820">AD347+AI347+AN347</f>
        <v>0</v>
      </c>
      <c r="CM347" s="164">
        <f t="shared" ref="CM347:CM352" si="821">AE347+AJ347+AO347</f>
        <v>6200</v>
      </c>
      <c r="CN347" s="181">
        <f t="shared" si="816"/>
        <v>6200</v>
      </c>
      <c r="CO347" s="180">
        <f t="shared" si="816"/>
        <v>0</v>
      </c>
      <c r="CP347" s="180">
        <f t="shared" si="816"/>
        <v>0</v>
      </c>
      <c r="CQ347" s="180">
        <f t="shared" si="816"/>
        <v>0</v>
      </c>
      <c r="CR347" s="180">
        <f t="shared" si="816"/>
        <v>6200</v>
      </c>
      <c r="CS347" s="273">
        <f t="shared" ref="CS347:CS351" si="822">CN347-CO347-CP347-CQ347-CR347</f>
        <v>0</v>
      </c>
      <c r="CT347" s="14"/>
    </row>
    <row r="348" spans="1:98" s="4" customFormat="1" ht="72" x14ac:dyDescent="0.3">
      <c r="A348" s="195" t="s">
        <v>716</v>
      </c>
      <c r="B348" s="182" t="s">
        <v>717</v>
      </c>
      <c r="C348" s="182" t="s">
        <v>1006</v>
      </c>
      <c r="D348" s="148" t="s">
        <v>1133</v>
      </c>
      <c r="E348" s="43" t="s">
        <v>52</v>
      </c>
      <c r="F348" s="74" t="s">
        <v>1007</v>
      </c>
      <c r="G348" s="50" t="s">
        <v>74</v>
      </c>
      <c r="H348" s="528"/>
      <c r="I348" s="43">
        <v>200</v>
      </c>
      <c r="J348" s="639">
        <v>200</v>
      </c>
      <c r="K348" s="43">
        <v>250</v>
      </c>
      <c r="L348" s="639">
        <v>200</v>
      </c>
      <c r="M348" s="654">
        <v>109</v>
      </c>
      <c r="N348" s="589" t="s">
        <v>1584</v>
      </c>
      <c r="O348" s="617"/>
      <c r="P348" s="589"/>
      <c r="Q348" s="43">
        <v>200</v>
      </c>
      <c r="R348" s="43">
        <v>200</v>
      </c>
      <c r="S348" s="43">
        <v>200</v>
      </c>
      <c r="T348" s="43">
        <v>200</v>
      </c>
      <c r="U348" s="43">
        <v>200</v>
      </c>
      <c r="V348" s="43">
        <v>200</v>
      </c>
      <c r="W348" s="43">
        <v>200</v>
      </c>
      <c r="X348" s="43">
        <v>200</v>
      </c>
      <c r="Y348" s="43">
        <v>200</v>
      </c>
      <c r="Z348" s="43">
        <v>200</v>
      </c>
      <c r="AA348" s="82">
        <f>SUM(AB348:AE348)</f>
        <v>1000</v>
      </c>
      <c r="AB348" s="55"/>
      <c r="AC348" s="55"/>
      <c r="AD348" s="55"/>
      <c r="AE348" s="55">
        <v>1000</v>
      </c>
      <c r="AF348" s="82"/>
      <c r="AG348" s="55"/>
      <c r="AH348" s="55"/>
      <c r="AI348" s="55"/>
      <c r="AJ348" s="55"/>
      <c r="AK348" s="82"/>
      <c r="AL348" s="55"/>
      <c r="AM348" s="55"/>
      <c r="AN348" s="55"/>
      <c r="AO348" s="55"/>
      <c r="AP348" s="82"/>
      <c r="AQ348" s="55"/>
      <c r="AR348" s="55"/>
      <c r="AS348" s="55"/>
      <c r="AT348" s="55"/>
      <c r="AU348" s="82"/>
      <c r="AV348" s="55"/>
      <c r="AW348" s="55"/>
      <c r="AX348" s="55"/>
      <c r="AY348" s="55"/>
      <c r="AZ348" s="82"/>
      <c r="BA348" s="55"/>
      <c r="BB348" s="55"/>
      <c r="BC348" s="55"/>
      <c r="BD348" s="55"/>
      <c r="BE348" s="82"/>
      <c r="BF348" s="55"/>
      <c r="BG348" s="55"/>
      <c r="BH348" s="55"/>
      <c r="BI348" s="55"/>
      <c r="BJ348" s="82"/>
      <c r="BK348" s="55"/>
      <c r="BL348" s="55"/>
      <c r="BM348" s="55"/>
      <c r="BN348" s="55"/>
      <c r="BO348" s="82"/>
      <c r="BP348" s="55"/>
      <c r="BQ348" s="55"/>
      <c r="BR348" s="55"/>
      <c r="BS348" s="55"/>
      <c r="BT348" s="82"/>
      <c r="BU348" s="55"/>
      <c r="BV348" s="55"/>
      <c r="BW348" s="55"/>
      <c r="BX348" s="55"/>
      <c r="BY348" s="82"/>
      <c r="BZ348" s="55"/>
      <c r="CA348" s="55"/>
      <c r="CB348" s="55"/>
      <c r="CC348" s="55"/>
      <c r="CD348" s="82"/>
      <c r="CE348" s="55"/>
      <c r="CF348" s="55"/>
      <c r="CG348" s="55"/>
      <c r="CH348" s="55"/>
      <c r="CI348" s="165">
        <f t="shared" si="817"/>
        <v>1000</v>
      </c>
      <c r="CJ348" s="164">
        <f t="shared" si="818"/>
        <v>0</v>
      </c>
      <c r="CK348" s="164">
        <f t="shared" si="819"/>
        <v>0</v>
      </c>
      <c r="CL348" s="164">
        <f t="shared" si="820"/>
        <v>0</v>
      </c>
      <c r="CM348" s="164">
        <f t="shared" si="821"/>
        <v>1000</v>
      </c>
      <c r="CN348" s="181">
        <f t="shared" si="816"/>
        <v>1000</v>
      </c>
      <c r="CO348" s="180">
        <f t="shared" si="816"/>
        <v>0</v>
      </c>
      <c r="CP348" s="180">
        <f t="shared" si="816"/>
        <v>0</v>
      </c>
      <c r="CQ348" s="180">
        <f t="shared" si="816"/>
        <v>0</v>
      </c>
      <c r="CR348" s="180">
        <f t="shared" si="816"/>
        <v>1000</v>
      </c>
      <c r="CS348" s="273">
        <f t="shared" si="822"/>
        <v>0</v>
      </c>
      <c r="CT348" s="14"/>
    </row>
    <row r="349" spans="1:98" s="4" customFormat="1" ht="264" x14ac:dyDescent="0.3">
      <c r="A349" s="195" t="s">
        <v>718</v>
      </c>
      <c r="B349" s="182" t="s">
        <v>719</v>
      </c>
      <c r="C349" s="182" t="s">
        <v>720</v>
      </c>
      <c r="D349" s="148" t="s">
        <v>1133</v>
      </c>
      <c r="E349" s="50">
        <v>2019</v>
      </c>
      <c r="F349" s="74" t="s">
        <v>721</v>
      </c>
      <c r="G349" s="50" t="s">
        <v>117</v>
      </c>
      <c r="H349" s="528"/>
      <c r="I349" s="50" t="s">
        <v>118</v>
      </c>
      <c r="J349" s="630"/>
      <c r="K349" s="286"/>
      <c r="L349" s="630"/>
      <c r="M349" s="702" t="s">
        <v>1472</v>
      </c>
      <c r="N349" s="589" t="s">
        <v>1585</v>
      </c>
      <c r="O349" s="617" t="s">
        <v>1682</v>
      </c>
      <c r="P349" s="589"/>
      <c r="Q349" s="50"/>
      <c r="R349" s="50"/>
      <c r="S349" s="50"/>
      <c r="T349" s="50"/>
      <c r="U349" s="50"/>
      <c r="V349" s="50"/>
      <c r="W349" s="50"/>
      <c r="X349" s="50"/>
      <c r="Y349" s="50"/>
      <c r="Z349" s="50"/>
      <c r="AA349" s="82">
        <f>SUM(AB349:AE349)</f>
        <v>500</v>
      </c>
      <c r="AB349" s="55"/>
      <c r="AC349" s="55"/>
      <c r="AD349" s="55"/>
      <c r="AE349" s="55">
        <v>500</v>
      </c>
      <c r="AF349" s="82"/>
      <c r="AG349" s="55"/>
      <c r="AH349" s="55"/>
      <c r="AI349" s="55"/>
      <c r="AJ349" s="55"/>
      <c r="AK349" s="82"/>
      <c r="AL349" s="55"/>
      <c r="AM349" s="55"/>
      <c r="AN349" s="55"/>
      <c r="AO349" s="55"/>
      <c r="AP349" s="82"/>
      <c r="AQ349" s="55"/>
      <c r="AR349" s="55"/>
      <c r="AS349" s="55"/>
      <c r="AT349" s="55"/>
      <c r="AU349" s="82"/>
      <c r="AV349" s="55"/>
      <c r="AW349" s="55"/>
      <c r="AX349" s="55"/>
      <c r="AY349" s="55"/>
      <c r="AZ349" s="82"/>
      <c r="BA349" s="55"/>
      <c r="BB349" s="55"/>
      <c r="BC349" s="55"/>
      <c r="BD349" s="55"/>
      <c r="BE349" s="82"/>
      <c r="BF349" s="55"/>
      <c r="BG349" s="55"/>
      <c r="BH349" s="55"/>
      <c r="BI349" s="55"/>
      <c r="BJ349" s="82"/>
      <c r="BK349" s="55"/>
      <c r="BL349" s="55"/>
      <c r="BM349" s="55"/>
      <c r="BN349" s="55"/>
      <c r="BO349" s="82"/>
      <c r="BP349" s="55"/>
      <c r="BQ349" s="55"/>
      <c r="BR349" s="55"/>
      <c r="BS349" s="55"/>
      <c r="BT349" s="82"/>
      <c r="BU349" s="55"/>
      <c r="BV349" s="55"/>
      <c r="BW349" s="55"/>
      <c r="BX349" s="55"/>
      <c r="BY349" s="82"/>
      <c r="BZ349" s="55"/>
      <c r="CA349" s="55"/>
      <c r="CB349" s="55"/>
      <c r="CC349" s="55"/>
      <c r="CD349" s="82"/>
      <c r="CE349" s="55"/>
      <c r="CF349" s="55"/>
      <c r="CG349" s="55"/>
      <c r="CH349" s="55"/>
      <c r="CI349" s="165">
        <f t="shared" si="817"/>
        <v>500</v>
      </c>
      <c r="CJ349" s="164">
        <f t="shared" si="818"/>
        <v>0</v>
      </c>
      <c r="CK349" s="164">
        <f t="shared" si="819"/>
        <v>0</v>
      </c>
      <c r="CL349" s="164">
        <f t="shared" si="820"/>
        <v>0</v>
      </c>
      <c r="CM349" s="164">
        <f t="shared" si="821"/>
        <v>500</v>
      </c>
      <c r="CN349" s="181">
        <f t="shared" si="816"/>
        <v>500</v>
      </c>
      <c r="CO349" s="180">
        <f t="shared" si="816"/>
        <v>0</v>
      </c>
      <c r="CP349" s="180">
        <f t="shared" si="816"/>
        <v>0</v>
      </c>
      <c r="CQ349" s="180">
        <f t="shared" si="816"/>
        <v>0</v>
      </c>
      <c r="CR349" s="180">
        <f t="shared" si="816"/>
        <v>500</v>
      </c>
      <c r="CS349" s="273">
        <f t="shared" si="822"/>
        <v>0</v>
      </c>
      <c r="CT349" s="14"/>
    </row>
    <row r="350" spans="1:98" s="4" customFormat="1" ht="144" x14ac:dyDescent="0.3">
      <c r="A350" s="475" t="s">
        <v>722</v>
      </c>
      <c r="B350" s="498" t="s">
        <v>723</v>
      </c>
      <c r="C350" s="498" t="s">
        <v>724</v>
      </c>
      <c r="D350" s="476" t="s">
        <v>725</v>
      </c>
      <c r="E350" s="476" t="s">
        <v>726</v>
      </c>
      <c r="F350" s="500" t="s">
        <v>1431</v>
      </c>
      <c r="G350" s="477" t="s">
        <v>117</v>
      </c>
      <c r="H350" s="528"/>
      <c r="I350" s="477"/>
      <c r="J350" s="630"/>
      <c r="K350" s="477" t="s">
        <v>140</v>
      </c>
      <c r="L350" s="630"/>
      <c r="M350" s="702"/>
      <c r="N350" s="599" t="s">
        <v>1531</v>
      </c>
      <c r="O350" s="699" t="s">
        <v>1730</v>
      </c>
      <c r="P350" s="518"/>
      <c r="Q350" s="477"/>
      <c r="R350" s="477" t="s">
        <v>118</v>
      </c>
      <c r="S350" s="477"/>
      <c r="T350" s="477"/>
      <c r="U350" s="477"/>
      <c r="V350" s="477"/>
      <c r="W350" s="477"/>
      <c r="X350" s="477"/>
      <c r="Y350" s="477"/>
      <c r="Z350" s="477"/>
      <c r="AA350" s="82"/>
      <c r="AB350" s="55"/>
      <c r="AC350" s="55"/>
      <c r="AD350" s="55"/>
      <c r="AE350" s="55"/>
      <c r="AF350" s="82"/>
      <c r="AG350" s="55"/>
      <c r="AH350" s="55"/>
      <c r="AI350" s="55"/>
      <c r="AJ350" s="55"/>
      <c r="AK350" s="82"/>
      <c r="AL350" s="55"/>
      <c r="AM350" s="55"/>
      <c r="AN350" s="55"/>
      <c r="AO350" s="55"/>
      <c r="AP350" s="82"/>
      <c r="AQ350" s="55"/>
      <c r="AR350" s="55"/>
      <c r="AS350" s="55"/>
      <c r="AT350" s="55"/>
      <c r="AU350" s="82"/>
      <c r="AV350" s="55"/>
      <c r="AW350" s="55"/>
      <c r="AX350" s="55"/>
      <c r="AY350" s="55"/>
      <c r="AZ350" s="82"/>
      <c r="BA350" s="55"/>
      <c r="BB350" s="55"/>
      <c r="BC350" s="55"/>
      <c r="BD350" s="55"/>
      <c r="BE350" s="82"/>
      <c r="BF350" s="55"/>
      <c r="BG350" s="55"/>
      <c r="BH350" s="55"/>
      <c r="BI350" s="55"/>
      <c r="BJ350" s="82"/>
      <c r="BK350" s="55"/>
      <c r="BL350" s="55"/>
      <c r="BM350" s="55"/>
      <c r="BN350" s="55"/>
      <c r="BO350" s="82"/>
      <c r="BP350" s="55"/>
      <c r="BQ350" s="55"/>
      <c r="BR350" s="55"/>
      <c r="BS350" s="55"/>
      <c r="BT350" s="82"/>
      <c r="BU350" s="55"/>
      <c r="BV350" s="55"/>
      <c r="BW350" s="55"/>
      <c r="BX350" s="55"/>
      <c r="BY350" s="82"/>
      <c r="BZ350" s="55"/>
      <c r="CA350" s="55"/>
      <c r="CB350" s="55"/>
      <c r="CC350" s="55"/>
      <c r="CD350" s="82"/>
      <c r="CE350" s="55"/>
      <c r="CF350" s="55"/>
      <c r="CG350" s="55"/>
      <c r="CH350" s="55"/>
      <c r="CI350" s="494">
        <f t="shared" si="817"/>
        <v>0</v>
      </c>
      <c r="CJ350" s="491">
        <f t="shared" si="818"/>
        <v>0</v>
      </c>
      <c r="CK350" s="491">
        <f t="shared" si="819"/>
        <v>0</v>
      </c>
      <c r="CL350" s="491">
        <f t="shared" si="820"/>
        <v>0</v>
      </c>
      <c r="CM350" s="491">
        <f t="shared" si="821"/>
        <v>0</v>
      </c>
      <c r="CN350" s="501">
        <f t="shared" si="816"/>
        <v>0</v>
      </c>
      <c r="CO350" s="492">
        <f t="shared" si="816"/>
        <v>0</v>
      </c>
      <c r="CP350" s="492">
        <f t="shared" si="816"/>
        <v>0</v>
      </c>
      <c r="CQ350" s="492">
        <f t="shared" si="816"/>
        <v>0</v>
      </c>
      <c r="CR350" s="492">
        <f t="shared" si="816"/>
        <v>0</v>
      </c>
      <c r="CS350" s="501">
        <f t="shared" si="822"/>
        <v>0</v>
      </c>
      <c r="CT350" s="14"/>
    </row>
    <row r="351" spans="1:98" s="4" customFormat="1" ht="120" x14ac:dyDescent="0.3">
      <c r="A351" s="475" t="s">
        <v>727</v>
      </c>
      <c r="B351" s="498" t="s">
        <v>728</v>
      </c>
      <c r="C351" s="498" t="s">
        <v>729</v>
      </c>
      <c r="D351" s="476" t="s">
        <v>730</v>
      </c>
      <c r="E351" s="476" t="s">
        <v>167</v>
      </c>
      <c r="F351" s="500" t="s">
        <v>1432</v>
      </c>
      <c r="G351" s="477" t="s">
        <v>117</v>
      </c>
      <c r="H351" s="528"/>
      <c r="I351" s="477"/>
      <c r="J351" s="630"/>
      <c r="K351" s="477" t="s">
        <v>140</v>
      </c>
      <c r="L351" s="630"/>
      <c r="M351" s="702"/>
      <c r="N351" s="598" t="s">
        <v>1586</v>
      </c>
      <c r="O351" s="699" t="s">
        <v>1731</v>
      </c>
      <c r="P351" s="582"/>
      <c r="Q351" s="477"/>
      <c r="R351" s="477" t="s">
        <v>118</v>
      </c>
      <c r="S351" s="477"/>
      <c r="T351" s="477"/>
      <c r="U351" s="477"/>
      <c r="V351" s="477"/>
      <c r="W351" s="477"/>
      <c r="X351" s="477"/>
      <c r="Y351" s="477"/>
      <c r="Z351" s="477"/>
      <c r="AA351" s="82"/>
      <c r="AB351" s="55"/>
      <c r="AC351" s="55"/>
      <c r="AD351" s="55"/>
      <c r="AE351" s="55"/>
      <c r="AF351" s="82"/>
      <c r="AG351" s="55"/>
      <c r="AH351" s="55"/>
      <c r="AI351" s="55"/>
      <c r="AJ351" s="55"/>
      <c r="AK351" s="82">
        <f>SUM(AL351:AO351)</f>
        <v>210000</v>
      </c>
      <c r="AL351" s="55">
        <v>10000</v>
      </c>
      <c r="AM351" s="55"/>
      <c r="AN351" s="55"/>
      <c r="AO351" s="55">
        <v>200000</v>
      </c>
      <c r="AP351" s="82"/>
      <c r="AQ351" s="55"/>
      <c r="AR351" s="55"/>
      <c r="AS351" s="55"/>
      <c r="AT351" s="55"/>
      <c r="AU351" s="82"/>
      <c r="AV351" s="55"/>
      <c r="AW351" s="55"/>
      <c r="AX351" s="55"/>
      <c r="AY351" s="55"/>
      <c r="AZ351" s="82"/>
      <c r="BA351" s="55"/>
      <c r="BB351" s="55"/>
      <c r="BC351" s="55"/>
      <c r="BD351" s="55"/>
      <c r="BE351" s="82"/>
      <c r="BF351" s="55"/>
      <c r="BG351" s="55"/>
      <c r="BH351" s="55"/>
      <c r="BI351" s="55"/>
      <c r="BJ351" s="82"/>
      <c r="BK351" s="55"/>
      <c r="BL351" s="55"/>
      <c r="BM351" s="55"/>
      <c r="BN351" s="55"/>
      <c r="BO351" s="82"/>
      <c r="BP351" s="55"/>
      <c r="BQ351" s="55"/>
      <c r="BR351" s="55"/>
      <c r="BS351" s="55"/>
      <c r="BT351" s="82"/>
      <c r="BU351" s="55"/>
      <c r="BV351" s="55"/>
      <c r="BW351" s="55"/>
      <c r="BX351" s="55"/>
      <c r="BY351" s="82"/>
      <c r="BZ351" s="55"/>
      <c r="CA351" s="55"/>
      <c r="CB351" s="55"/>
      <c r="CC351" s="55"/>
      <c r="CD351" s="82"/>
      <c r="CE351" s="55"/>
      <c r="CF351" s="55"/>
      <c r="CG351" s="55"/>
      <c r="CH351" s="55"/>
      <c r="CI351" s="494">
        <f t="shared" si="817"/>
        <v>210000</v>
      </c>
      <c r="CJ351" s="491">
        <f t="shared" si="818"/>
        <v>10000</v>
      </c>
      <c r="CK351" s="491">
        <f t="shared" si="819"/>
        <v>0</v>
      </c>
      <c r="CL351" s="491">
        <f t="shared" si="820"/>
        <v>0</v>
      </c>
      <c r="CM351" s="491">
        <f t="shared" si="821"/>
        <v>200000</v>
      </c>
      <c r="CN351" s="501">
        <f t="shared" si="816"/>
        <v>210000</v>
      </c>
      <c r="CO351" s="492">
        <f t="shared" si="816"/>
        <v>10000</v>
      </c>
      <c r="CP351" s="492">
        <f t="shared" si="816"/>
        <v>0</v>
      </c>
      <c r="CQ351" s="492">
        <f t="shared" si="816"/>
        <v>0</v>
      </c>
      <c r="CR351" s="492">
        <f t="shared" si="816"/>
        <v>200000</v>
      </c>
      <c r="CS351" s="501">
        <f t="shared" si="822"/>
        <v>0</v>
      </c>
      <c r="CT351" s="14"/>
    </row>
    <row r="352" spans="1:98" s="4" customFormat="1" ht="217.5" customHeight="1" x14ac:dyDescent="0.3">
      <c r="A352" s="475" t="s">
        <v>731</v>
      </c>
      <c r="B352" s="498" t="s">
        <v>732</v>
      </c>
      <c r="C352" s="498" t="s">
        <v>733</v>
      </c>
      <c r="D352" s="476" t="s">
        <v>1409</v>
      </c>
      <c r="E352" s="476" t="s">
        <v>726</v>
      </c>
      <c r="F352" s="500" t="s">
        <v>1433</v>
      </c>
      <c r="G352" s="477" t="s">
        <v>117</v>
      </c>
      <c r="H352" s="528"/>
      <c r="I352" s="477"/>
      <c r="J352" s="630"/>
      <c r="K352" s="477" t="s">
        <v>140</v>
      </c>
      <c r="L352" s="630"/>
      <c r="M352" s="702"/>
      <c r="N352" s="599" t="s">
        <v>1531</v>
      </c>
      <c r="O352" s="518"/>
      <c r="P352" s="518"/>
      <c r="Q352" s="477"/>
      <c r="R352" s="477" t="s">
        <v>118</v>
      </c>
      <c r="S352" s="477"/>
      <c r="T352" s="477"/>
      <c r="U352" s="477"/>
      <c r="V352" s="477"/>
      <c r="W352" s="477"/>
      <c r="X352" s="477"/>
      <c r="Y352" s="477"/>
      <c r="Z352" s="477"/>
      <c r="AA352" s="82"/>
      <c r="AB352" s="55"/>
      <c r="AC352" s="55"/>
      <c r="AD352" s="55"/>
      <c r="AE352" s="55"/>
      <c r="AF352" s="82"/>
      <c r="AG352" s="55"/>
      <c r="AH352" s="55"/>
      <c r="AI352" s="55"/>
      <c r="AJ352" s="55"/>
      <c r="AK352" s="82"/>
      <c r="AL352" s="55"/>
      <c r="AM352" s="55"/>
      <c r="AN352" s="55"/>
      <c r="AO352" s="55"/>
      <c r="AP352" s="82"/>
      <c r="AQ352" s="55"/>
      <c r="AR352" s="55"/>
      <c r="AS352" s="55"/>
      <c r="AT352" s="55"/>
      <c r="AU352" s="82"/>
      <c r="AV352" s="55"/>
      <c r="AW352" s="55"/>
      <c r="AX352" s="55"/>
      <c r="AY352" s="55"/>
      <c r="AZ352" s="82"/>
      <c r="BA352" s="55"/>
      <c r="BB352" s="55"/>
      <c r="BC352" s="55"/>
      <c r="BD352" s="55"/>
      <c r="BE352" s="82"/>
      <c r="BF352" s="55"/>
      <c r="BG352" s="55"/>
      <c r="BH352" s="55"/>
      <c r="BI352" s="55"/>
      <c r="BJ352" s="82"/>
      <c r="BK352" s="55"/>
      <c r="BL352" s="55"/>
      <c r="BM352" s="55"/>
      <c r="BN352" s="55"/>
      <c r="BO352" s="82"/>
      <c r="BP352" s="55"/>
      <c r="BQ352" s="55"/>
      <c r="BR352" s="55"/>
      <c r="BS352" s="55"/>
      <c r="BT352" s="82"/>
      <c r="BU352" s="55"/>
      <c r="BV352" s="55"/>
      <c r="BW352" s="55"/>
      <c r="BX352" s="55"/>
      <c r="BY352" s="82"/>
      <c r="BZ352" s="55"/>
      <c r="CA352" s="55"/>
      <c r="CB352" s="55"/>
      <c r="CC352" s="55"/>
      <c r="CD352" s="82"/>
      <c r="CE352" s="55"/>
      <c r="CF352" s="55"/>
      <c r="CG352" s="55"/>
      <c r="CH352" s="55"/>
      <c r="CI352" s="494">
        <f t="shared" si="817"/>
        <v>0</v>
      </c>
      <c r="CJ352" s="491">
        <f t="shared" si="818"/>
        <v>0</v>
      </c>
      <c r="CK352" s="491">
        <f t="shared" si="819"/>
        <v>0</v>
      </c>
      <c r="CL352" s="491">
        <f t="shared" si="820"/>
        <v>0</v>
      </c>
      <c r="CM352" s="491">
        <f t="shared" si="821"/>
        <v>0</v>
      </c>
      <c r="CN352" s="501">
        <f t="shared" si="816"/>
        <v>0</v>
      </c>
      <c r="CO352" s="492">
        <f t="shared" si="816"/>
        <v>0</v>
      </c>
      <c r="CP352" s="492">
        <f t="shared" si="816"/>
        <v>0</v>
      </c>
      <c r="CQ352" s="492">
        <f t="shared" si="816"/>
        <v>0</v>
      </c>
      <c r="CR352" s="492">
        <f t="shared" si="816"/>
        <v>0</v>
      </c>
      <c r="CS352" s="501">
        <f>CN352-CO352-CP352-CQ352-CR352</f>
        <v>0</v>
      </c>
      <c r="CT352" s="14"/>
    </row>
    <row r="353" spans="1:98" ht="63.75" customHeight="1" x14ac:dyDescent="0.3">
      <c r="A353" s="362" t="s">
        <v>734</v>
      </c>
      <c r="B353" s="820" t="s">
        <v>735</v>
      </c>
      <c r="C353" s="821"/>
      <c r="D353" s="821"/>
      <c r="E353" s="821"/>
      <c r="F353" s="821"/>
      <c r="G353" s="821"/>
      <c r="H353" s="821"/>
      <c r="I353" s="821"/>
      <c r="J353" s="821"/>
      <c r="K353" s="821"/>
      <c r="L353" s="821"/>
      <c r="M353" s="821"/>
      <c r="N353" s="821"/>
      <c r="O353" s="821"/>
      <c r="P353" s="821"/>
      <c r="Q353" s="821"/>
      <c r="R353" s="821"/>
      <c r="S353" s="821"/>
      <c r="T353" s="821"/>
      <c r="U353" s="821"/>
      <c r="V353" s="821"/>
      <c r="W353" s="821"/>
      <c r="X353" s="821"/>
      <c r="Y353" s="821"/>
      <c r="Z353" s="821"/>
      <c r="AA353" s="821"/>
      <c r="AB353" s="821"/>
      <c r="AC353" s="821"/>
      <c r="AD353" s="821"/>
      <c r="AE353" s="821"/>
      <c r="AF353" s="821"/>
      <c r="AG353" s="821"/>
      <c r="AH353" s="821"/>
      <c r="AI353" s="821"/>
      <c r="AJ353" s="821"/>
      <c r="AK353" s="821"/>
      <c r="AL353" s="821"/>
      <c r="AM353" s="821"/>
      <c r="AN353" s="821"/>
      <c r="AO353" s="821"/>
      <c r="AP353" s="821"/>
      <c r="AQ353" s="821"/>
      <c r="AR353" s="821"/>
      <c r="AS353" s="821"/>
      <c r="AT353" s="821"/>
      <c r="AU353" s="821"/>
      <c r="AV353" s="821"/>
      <c r="AW353" s="821"/>
      <c r="AX353" s="821"/>
      <c r="AY353" s="821"/>
      <c r="AZ353" s="821"/>
      <c r="BA353" s="821"/>
      <c r="BB353" s="821"/>
      <c r="BC353" s="821"/>
      <c r="BD353" s="821"/>
      <c r="BE353" s="821"/>
      <c r="BF353" s="821"/>
      <c r="BG353" s="821"/>
      <c r="BH353" s="821"/>
      <c r="BI353" s="821"/>
      <c r="BJ353" s="821"/>
      <c r="BK353" s="821"/>
      <c r="BL353" s="821"/>
      <c r="BM353" s="821"/>
      <c r="BN353" s="821"/>
      <c r="BO353" s="821"/>
      <c r="BP353" s="821"/>
      <c r="BQ353" s="821"/>
      <c r="BR353" s="821"/>
      <c r="BS353" s="821"/>
      <c r="BT353" s="821"/>
      <c r="BU353" s="821"/>
      <c r="BV353" s="821"/>
      <c r="BW353" s="821"/>
      <c r="BX353" s="821"/>
      <c r="BY353" s="821"/>
      <c r="BZ353" s="821"/>
      <c r="CA353" s="821"/>
      <c r="CB353" s="821"/>
      <c r="CC353" s="821"/>
      <c r="CD353" s="821"/>
      <c r="CE353" s="821"/>
      <c r="CF353" s="821"/>
      <c r="CG353" s="821"/>
      <c r="CH353" s="821"/>
      <c r="CI353" s="821"/>
      <c r="CJ353" s="821"/>
      <c r="CK353" s="821"/>
      <c r="CL353" s="821"/>
      <c r="CM353" s="822"/>
      <c r="CN353" s="277">
        <f>CN354+CN355</f>
        <v>3423260</v>
      </c>
      <c r="CO353" s="277">
        <f t="shared" ref="CO353:CS353" si="823">CO354+CO355</f>
        <v>0</v>
      </c>
      <c r="CP353" s="277">
        <f t="shared" si="823"/>
        <v>28610</v>
      </c>
      <c r="CQ353" s="277">
        <f t="shared" si="823"/>
        <v>543510</v>
      </c>
      <c r="CR353" s="277">
        <f t="shared" si="823"/>
        <v>2851140</v>
      </c>
      <c r="CS353" s="273">
        <f t="shared" si="823"/>
        <v>0</v>
      </c>
    </row>
    <row r="354" spans="1:98" s="4" customFormat="1" ht="144" x14ac:dyDescent="0.3">
      <c r="A354" s="504" t="s">
        <v>736</v>
      </c>
      <c r="B354" s="498" t="s">
        <v>737</v>
      </c>
      <c r="C354" s="498" t="s">
        <v>1410</v>
      </c>
      <c r="D354" s="476" t="s">
        <v>738</v>
      </c>
      <c r="E354" s="476" t="s">
        <v>739</v>
      </c>
      <c r="F354" s="500" t="s">
        <v>1108</v>
      </c>
      <c r="G354" s="476" t="s">
        <v>1109</v>
      </c>
      <c r="H354" s="527"/>
      <c r="I354" s="476"/>
      <c r="J354" s="634"/>
      <c r="K354" s="476" t="s">
        <v>140</v>
      </c>
      <c r="L354" s="634"/>
      <c r="M354" s="657"/>
      <c r="N354" s="598" t="s">
        <v>1587</v>
      </c>
      <c r="O354" s="617" t="s">
        <v>1706</v>
      </c>
      <c r="P354" s="582"/>
      <c r="Q354" s="476"/>
      <c r="R354" s="476">
        <v>2440</v>
      </c>
      <c r="S354" s="476">
        <v>2440</v>
      </c>
      <c r="T354" s="476">
        <v>2440</v>
      </c>
      <c r="U354" s="476">
        <v>2440</v>
      </c>
      <c r="V354" s="476">
        <v>2440</v>
      </c>
      <c r="W354" s="476">
        <v>2440</v>
      </c>
      <c r="X354" s="476">
        <v>2440</v>
      </c>
      <c r="Y354" s="476">
        <v>2440</v>
      </c>
      <c r="Z354" s="476">
        <v>2440</v>
      </c>
      <c r="AA354" s="82">
        <f>SUM(AB354:AE354)</f>
        <v>1355470</v>
      </c>
      <c r="AB354" s="70"/>
      <c r="AC354" s="55">
        <v>8410</v>
      </c>
      <c r="AD354" s="55">
        <v>159810</v>
      </c>
      <c r="AE354" s="55">
        <v>1187250</v>
      </c>
      <c r="AF354" s="82">
        <f>SUM(AG354:AJ354)</f>
        <v>1869810</v>
      </c>
      <c r="AG354" s="70"/>
      <c r="AH354" s="55">
        <v>20200</v>
      </c>
      <c r="AI354" s="55">
        <v>383700</v>
      </c>
      <c r="AJ354" s="55">
        <v>1465910</v>
      </c>
      <c r="AK354" s="82">
        <f>SUM(AL354:AO354)</f>
        <v>103980</v>
      </c>
      <c r="AL354" s="70"/>
      <c r="AM354" s="70"/>
      <c r="AN354" s="70"/>
      <c r="AO354" s="55">
        <v>103980</v>
      </c>
      <c r="AP354" s="77"/>
      <c r="AQ354" s="70"/>
      <c r="AR354" s="70"/>
      <c r="AS354" s="70"/>
      <c r="AT354" s="70"/>
      <c r="AU354" s="77"/>
      <c r="AV354" s="70"/>
      <c r="AW354" s="70"/>
      <c r="AX354" s="70"/>
      <c r="AY354" s="70"/>
      <c r="AZ354" s="77"/>
      <c r="BA354" s="70"/>
      <c r="BB354" s="70"/>
      <c r="BC354" s="70"/>
      <c r="BD354" s="70"/>
      <c r="BE354" s="77"/>
      <c r="BF354" s="70"/>
      <c r="BG354" s="70"/>
      <c r="BH354" s="70"/>
      <c r="BI354" s="70"/>
      <c r="BJ354" s="77"/>
      <c r="BK354" s="70"/>
      <c r="BL354" s="70"/>
      <c r="BM354" s="70"/>
      <c r="BN354" s="70"/>
      <c r="BO354" s="77"/>
      <c r="BP354" s="70"/>
      <c r="BQ354" s="70"/>
      <c r="BR354" s="70"/>
      <c r="BS354" s="70"/>
      <c r="BT354" s="77"/>
      <c r="BU354" s="70"/>
      <c r="BV354" s="70"/>
      <c r="BW354" s="70"/>
      <c r="BX354" s="70"/>
      <c r="BY354" s="77"/>
      <c r="BZ354" s="70"/>
      <c r="CA354" s="70"/>
      <c r="CB354" s="70"/>
      <c r="CC354" s="70"/>
      <c r="CD354" s="77"/>
      <c r="CE354" s="70"/>
      <c r="CF354" s="70"/>
      <c r="CG354" s="70"/>
      <c r="CH354" s="70"/>
      <c r="CI354" s="494">
        <f t="shared" ref="CI354:CI355" si="824">AA354+AF354+AK354</f>
        <v>3329260</v>
      </c>
      <c r="CJ354" s="491">
        <f t="shared" ref="CJ354:CJ355" si="825">AB354+AG354+AL354</f>
        <v>0</v>
      </c>
      <c r="CK354" s="491">
        <f t="shared" ref="CK354:CK355" si="826">AC354+AH354+AM354</f>
        <v>28610</v>
      </c>
      <c r="CL354" s="491">
        <f t="shared" ref="CL354:CL355" si="827">AD354+AI354+AN354</f>
        <v>543510</v>
      </c>
      <c r="CM354" s="491">
        <f t="shared" ref="CM354:CM355" si="828">AE354+AJ354+AO354</f>
        <v>2757140</v>
      </c>
      <c r="CN354" s="501">
        <f t="shared" ref="CN354:CR355" si="829">AA354+AF354+AK354+AP354+AU354+AZ354+BE354+BJ354+BO354+BT354+BY354+CD354</f>
        <v>3329260</v>
      </c>
      <c r="CO354" s="492">
        <f t="shared" si="829"/>
        <v>0</v>
      </c>
      <c r="CP354" s="492">
        <f t="shared" si="829"/>
        <v>28610</v>
      </c>
      <c r="CQ354" s="492">
        <f t="shared" si="829"/>
        <v>543510</v>
      </c>
      <c r="CR354" s="492">
        <f t="shared" si="829"/>
        <v>2757140</v>
      </c>
      <c r="CS354" s="501">
        <f>CN354-CO354-CP354-CQ354-CR354</f>
        <v>0</v>
      </c>
      <c r="CT354" s="14"/>
    </row>
    <row r="355" spans="1:98" s="4" customFormat="1" ht="105" customHeight="1" x14ac:dyDescent="0.3">
      <c r="A355" s="504" t="s">
        <v>740</v>
      </c>
      <c r="B355" s="498" t="s">
        <v>741</v>
      </c>
      <c r="C355" s="498" t="s">
        <v>742</v>
      </c>
      <c r="D355" s="476" t="s">
        <v>743</v>
      </c>
      <c r="E355" s="476" t="s">
        <v>143</v>
      </c>
      <c r="F355" s="98" t="s">
        <v>847</v>
      </c>
      <c r="G355" s="502" t="s">
        <v>994</v>
      </c>
      <c r="H355" s="528"/>
      <c r="I355" s="502"/>
      <c r="J355" s="639">
        <v>1.2</v>
      </c>
      <c r="K355" s="502" t="s">
        <v>140</v>
      </c>
      <c r="L355" s="639">
        <v>1.2</v>
      </c>
      <c r="M355" s="654"/>
      <c r="N355" s="599" t="s">
        <v>1531</v>
      </c>
      <c r="O355" s="518" t="s">
        <v>1531</v>
      </c>
      <c r="P355" s="518"/>
      <c r="Q355" s="502">
        <v>1.2</v>
      </c>
      <c r="R355" s="502">
        <v>1.2</v>
      </c>
      <c r="S355" s="502">
        <v>1.2</v>
      </c>
      <c r="T355" s="502">
        <v>1.2</v>
      </c>
      <c r="U355" s="502">
        <v>1.2</v>
      </c>
      <c r="V355" s="502">
        <v>1.2</v>
      </c>
      <c r="W355" s="502">
        <v>1.2</v>
      </c>
      <c r="X355" s="502">
        <v>1.2</v>
      </c>
      <c r="Y355" s="502">
        <v>1.2</v>
      </c>
      <c r="Z355" s="502">
        <v>1.2</v>
      </c>
      <c r="AA355" s="82">
        <f>SUM(AB355:AE355)</f>
        <v>17000</v>
      </c>
      <c r="AB355" s="55"/>
      <c r="AC355" s="55"/>
      <c r="AD355" s="55"/>
      <c r="AE355" s="55">
        <v>17000</v>
      </c>
      <c r="AF355" s="82">
        <f>SUM(AG355:AJ355)</f>
        <v>27000</v>
      </c>
      <c r="AG355" s="55"/>
      <c r="AH355" s="55"/>
      <c r="AI355" s="55"/>
      <c r="AJ355" s="55">
        <v>27000</v>
      </c>
      <c r="AK355" s="82">
        <f>SUM(AL355:AO355)</f>
        <v>50000</v>
      </c>
      <c r="AL355" s="55"/>
      <c r="AM355" s="55"/>
      <c r="AN355" s="55"/>
      <c r="AO355" s="55">
        <v>50000</v>
      </c>
      <c r="AP355" s="82">
        <f>SUM(AQ355:AT355)</f>
        <v>0</v>
      </c>
      <c r="AQ355" s="55"/>
      <c r="AR355" s="55"/>
      <c r="AS355" s="55"/>
      <c r="AT355" s="55"/>
      <c r="AU355" s="82">
        <f>SUM(AV355:AY355)</f>
        <v>0</v>
      </c>
      <c r="AV355" s="55"/>
      <c r="AW355" s="55"/>
      <c r="AX355" s="55"/>
      <c r="AY355" s="55"/>
      <c r="AZ355" s="82">
        <f>SUM(BA355:BD355)</f>
        <v>0</v>
      </c>
      <c r="BA355" s="55"/>
      <c r="BB355" s="55"/>
      <c r="BC355" s="55"/>
      <c r="BD355" s="55"/>
      <c r="BE355" s="82">
        <f>SUM(BF355:BI355)</f>
        <v>0</v>
      </c>
      <c r="BF355" s="55"/>
      <c r="BG355" s="55"/>
      <c r="BH355" s="55"/>
      <c r="BI355" s="55"/>
      <c r="BJ355" s="82">
        <f>SUM(BK355:BN355)</f>
        <v>0</v>
      </c>
      <c r="BK355" s="55"/>
      <c r="BL355" s="55"/>
      <c r="BM355" s="55"/>
      <c r="BN355" s="55"/>
      <c r="BO355" s="82">
        <f>SUM(BP355:BS355)</f>
        <v>0</v>
      </c>
      <c r="BP355" s="55"/>
      <c r="BQ355" s="55"/>
      <c r="BR355" s="55"/>
      <c r="BS355" s="55"/>
      <c r="BT355" s="82">
        <f>SUM(BU355:BX355)</f>
        <v>0</v>
      </c>
      <c r="BU355" s="55"/>
      <c r="BV355" s="55"/>
      <c r="BW355" s="55"/>
      <c r="BX355" s="55"/>
      <c r="BY355" s="82">
        <f>SUM(BZ355:CC355)</f>
        <v>0</v>
      </c>
      <c r="BZ355" s="55"/>
      <c r="CA355" s="55"/>
      <c r="CB355" s="55"/>
      <c r="CC355" s="55"/>
      <c r="CD355" s="82">
        <f>SUM(CE355:CH355)</f>
        <v>0</v>
      </c>
      <c r="CE355" s="55"/>
      <c r="CF355" s="55"/>
      <c r="CG355" s="55"/>
      <c r="CH355" s="55"/>
      <c r="CI355" s="494">
        <f t="shared" si="824"/>
        <v>94000</v>
      </c>
      <c r="CJ355" s="491">
        <f t="shared" si="825"/>
        <v>0</v>
      </c>
      <c r="CK355" s="491">
        <f t="shared" si="826"/>
        <v>0</v>
      </c>
      <c r="CL355" s="491">
        <f t="shared" si="827"/>
        <v>0</v>
      </c>
      <c r="CM355" s="491">
        <f t="shared" si="828"/>
        <v>94000</v>
      </c>
      <c r="CN355" s="501">
        <f t="shared" si="829"/>
        <v>94000</v>
      </c>
      <c r="CO355" s="492">
        <f t="shared" si="829"/>
        <v>0</v>
      </c>
      <c r="CP355" s="492">
        <f t="shared" si="829"/>
        <v>0</v>
      </c>
      <c r="CQ355" s="492">
        <f t="shared" si="829"/>
        <v>0</v>
      </c>
      <c r="CR355" s="492">
        <f t="shared" si="829"/>
        <v>94000</v>
      </c>
      <c r="CS355" s="501">
        <f>CN355-CO355-CP355-CQ355-CR355</f>
        <v>0</v>
      </c>
      <c r="CT355" s="14"/>
    </row>
    <row r="356" spans="1:98" x14ac:dyDescent="0.3">
      <c r="A356" s="362" t="s">
        <v>744</v>
      </c>
      <c r="B356" s="813" t="s">
        <v>745</v>
      </c>
      <c r="C356" s="813"/>
      <c r="D356" s="813"/>
      <c r="E356" s="813"/>
      <c r="F356" s="813"/>
      <c r="G356" s="813"/>
      <c r="H356" s="813"/>
      <c r="I356" s="813"/>
      <c r="J356" s="813"/>
      <c r="K356" s="813"/>
      <c r="L356" s="813"/>
      <c r="M356" s="813"/>
      <c r="N356" s="813"/>
      <c r="O356" s="813"/>
      <c r="P356" s="813"/>
      <c r="Q356" s="813"/>
      <c r="R356" s="813"/>
      <c r="S356" s="813"/>
      <c r="T356" s="813"/>
      <c r="U356" s="813"/>
      <c r="V356" s="813"/>
      <c r="W356" s="813"/>
      <c r="X356" s="813"/>
      <c r="Y356" s="813"/>
      <c r="Z356" s="813"/>
      <c r="AA356" s="813"/>
      <c r="AB356" s="813"/>
      <c r="AC356" s="813"/>
      <c r="AD356" s="813"/>
      <c r="AE356" s="813"/>
      <c r="AF356" s="813"/>
      <c r="AG356" s="813"/>
      <c r="AH356" s="813"/>
      <c r="AI356" s="813"/>
      <c r="AJ356" s="813"/>
      <c r="AK356" s="813"/>
      <c r="AL356" s="813"/>
      <c r="AM356" s="813"/>
      <c r="AN356" s="813"/>
      <c r="AO356" s="813"/>
      <c r="AP356" s="813"/>
      <c r="AQ356" s="813"/>
      <c r="AR356" s="813"/>
      <c r="AS356" s="813"/>
      <c r="AT356" s="813"/>
      <c r="AU356" s="813"/>
      <c r="AV356" s="813"/>
      <c r="AW356" s="813"/>
      <c r="AX356" s="813"/>
      <c r="AY356" s="813"/>
      <c r="AZ356" s="813"/>
      <c r="BA356" s="813"/>
      <c r="BB356" s="813"/>
      <c r="BC356" s="813"/>
      <c r="BD356" s="813"/>
      <c r="BE356" s="813"/>
      <c r="BF356" s="813"/>
      <c r="BG356" s="813"/>
      <c r="BH356" s="813"/>
      <c r="BI356" s="813"/>
      <c r="BJ356" s="813"/>
      <c r="BK356" s="813"/>
      <c r="BL356" s="813"/>
      <c r="BM356" s="813"/>
      <c r="BN356" s="813"/>
      <c r="BO356" s="813"/>
      <c r="BP356" s="813"/>
      <c r="BQ356" s="813"/>
      <c r="BR356" s="813"/>
      <c r="BS356" s="813"/>
      <c r="BT356" s="813"/>
      <c r="BU356" s="813"/>
      <c r="BV356" s="813"/>
      <c r="BW356" s="813"/>
      <c r="BX356" s="813"/>
      <c r="BY356" s="813"/>
      <c r="BZ356" s="813"/>
      <c r="CA356" s="813"/>
      <c r="CB356" s="813"/>
      <c r="CC356" s="813"/>
      <c r="CD356" s="813"/>
      <c r="CE356" s="813"/>
      <c r="CF356" s="813"/>
      <c r="CG356" s="813"/>
      <c r="CH356" s="813"/>
      <c r="CI356" s="813"/>
      <c r="CJ356" s="813"/>
      <c r="CK356" s="813"/>
      <c r="CL356" s="813"/>
      <c r="CM356" s="813"/>
      <c r="CN356" s="277">
        <f>CN357+CN358+CN359+CN360</f>
        <v>1320000</v>
      </c>
      <c r="CO356" s="277">
        <f t="shared" ref="CO356:CS356" si="830">CO357+CO358+CO359+CO360</f>
        <v>0</v>
      </c>
      <c r="CP356" s="277">
        <f t="shared" si="830"/>
        <v>0</v>
      </c>
      <c r="CQ356" s="277">
        <f t="shared" si="830"/>
        <v>0</v>
      </c>
      <c r="CR356" s="277">
        <f t="shared" si="830"/>
        <v>1320000</v>
      </c>
      <c r="CS356" s="273">
        <f t="shared" si="830"/>
        <v>0</v>
      </c>
    </row>
    <row r="357" spans="1:98" s="4" customFormat="1" ht="168" x14ac:dyDescent="0.3">
      <c r="A357" s="459" t="s">
        <v>746</v>
      </c>
      <c r="B357" s="460" t="s">
        <v>748</v>
      </c>
      <c r="C357" s="460" t="s">
        <v>1366</v>
      </c>
      <c r="D357" s="463" t="s">
        <v>98</v>
      </c>
      <c r="E357" s="463" t="s">
        <v>52</v>
      </c>
      <c r="F357" s="453" t="s">
        <v>749</v>
      </c>
      <c r="G357" s="465" t="s">
        <v>117</v>
      </c>
      <c r="H357" s="527"/>
      <c r="I357" s="463" t="s">
        <v>118</v>
      </c>
      <c r="J357" s="634" t="s">
        <v>118</v>
      </c>
      <c r="K357" s="463" t="s">
        <v>118</v>
      </c>
      <c r="L357" s="634" t="s">
        <v>118</v>
      </c>
      <c r="M357" s="657" t="s">
        <v>118</v>
      </c>
      <c r="N357" s="598"/>
      <c r="O357" s="617"/>
      <c r="P357" s="582"/>
      <c r="Q357" s="463" t="s">
        <v>118</v>
      </c>
      <c r="R357" s="463" t="s">
        <v>118</v>
      </c>
      <c r="S357" s="463" t="s">
        <v>118</v>
      </c>
      <c r="T357" s="463" t="s">
        <v>118</v>
      </c>
      <c r="U357" s="463" t="s">
        <v>118</v>
      </c>
      <c r="V357" s="463" t="s">
        <v>118</v>
      </c>
      <c r="W357" s="463" t="s">
        <v>118</v>
      </c>
      <c r="X357" s="463" t="s">
        <v>118</v>
      </c>
      <c r="Y357" s="463" t="s">
        <v>118</v>
      </c>
      <c r="Z357" s="463" t="s">
        <v>118</v>
      </c>
      <c r="AA357" s="466">
        <v>100000</v>
      </c>
      <c r="AB357" s="451"/>
      <c r="AC357" s="451"/>
      <c r="AD357" s="451"/>
      <c r="AE357" s="451">
        <v>100000</v>
      </c>
      <c r="AF357" s="466">
        <v>100000</v>
      </c>
      <c r="AG357" s="451"/>
      <c r="AH357" s="451"/>
      <c r="AI357" s="451"/>
      <c r="AJ357" s="451">
        <v>100000</v>
      </c>
      <c r="AK357" s="466">
        <v>100000</v>
      </c>
      <c r="AL357" s="451"/>
      <c r="AM357" s="451"/>
      <c r="AN357" s="451"/>
      <c r="AO357" s="451">
        <v>100000</v>
      </c>
      <c r="AP357" s="466">
        <v>100000</v>
      </c>
      <c r="AQ357" s="451"/>
      <c r="AR357" s="451"/>
      <c r="AS357" s="451"/>
      <c r="AT357" s="451">
        <v>100000</v>
      </c>
      <c r="AU357" s="466">
        <v>100000</v>
      </c>
      <c r="AV357" s="451"/>
      <c r="AW357" s="451"/>
      <c r="AX357" s="451"/>
      <c r="AY357" s="451">
        <v>100000</v>
      </c>
      <c r="AZ357" s="466">
        <v>100000</v>
      </c>
      <c r="BA357" s="451"/>
      <c r="BB357" s="451"/>
      <c r="BC357" s="451"/>
      <c r="BD357" s="451">
        <v>100000</v>
      </c>
      <c r="BE357" s="466">
        <v>100000</v>
      </c>
      <c r="BF357" s="451"/>
      <c r="BG357" s="451"/>
      <c r="BH357" s="451"/>
      <c r="BI357" s="451">
        <v>100000</v>
      </c>
      <c r="BJ357" s="466">
        <v>100000</v>
      </c>
      <c r="BK357" s="451"/>
      <c r="BL357" s="451"/>
      <c r="BM357" s="451"/>
      <c r="BN357" s="451">
        <v>100000</v>
      </c>
      <c r="BO357" s="466">
        <v>100000</v>
      </c>
      <c r="BP357" s="451"/>
      <c r="BQ357" s="451"/>
      <c r="BR357" s="451"/>
      <c r="BS357" s="451">
        <v>100000</v>
      </c>
      <c r="BT357" s="466">
        <v>100000</v>
      </c>
      <c r="BU357" s="451"/>
      <c r="BV357" s="451"/>
      <c r="BW357" s="451"/>
      <c r="BX357" s="451">
        <v>100000</v>
      </c>
      <c r="BY357" s="466">
        <v>100000</v>
      </c>
      <c r="BZ357" s="451"/>
      <c r="CA357" s="451"/>
      <c r="CB357" s="451"/>
      <c r="CC357" s="451">
        <v>100000</v>
      </c>
      <c r="CD357" s="466">
        <v>100000</v>
      </c>
      <c r="CE357" s="451"/>
      <c r="CF357" s="451"/>
      <c r="CG357" s="451"/>
      <c r="CH357" s="451">
        <v>100000</v>
      </c>
      <c r="CI357" s="466">
        <f t="shared" ref="CI357:CI360" si="831">AA357+AF357+AK357</f>
        <v>300000</v>
      </c>
      <c r="CJ357" s="451">
        <f t="shared" ref="CJ357:CJ360" si="832">AB357+AG357+AL357</f>
        <v>0</v>
      </c>
      <c r="CK357" s="451">
        <f t="shared" ref="CK357:CK360" si="833">AC357+AH357+AM357</f>
        <v>0</v>
      </c>
      <c r="CL357" s="451">
        <f t="shared" ref="CL357:CL360" si="834">AD357+AI357+AN357</f>
        <v>0</v>
      </c>
      <c r="CM357" s="451">
        <f t="shared" ref="CM357:CM360" si="835">AE357+AJ357+AO357</f>
        <v>300000</v>
      </c>
      <c r="CN357" s="456">
        <f t="shared" ref="CN357:CR360" si="836">AA357+AF357+AK357+AP357+AU357+AZ357+BE357+BJ357+BO357+BT357+BY357+CD357</f>
        <v>1200000</v>
      </c>
      <c r="CO357" s="457">
        <f t="shared" si="836"/>
        <v>0</v>
      </c>
      <c r="CP357" s="457">
        <f t="shared" si="836"/>
        <v>0</v>
      </c>
      <c r="CQ357" s="457">
        <f t="shared" si="836"/>
        <v>0</v>
      </c>
      <c r="CR357" s="457">
        <f t="shared" si="836"/>
        <v>1200000</v>
      </c>
      <c r="CS357" s="456">
        <f>CN357-CO357-CP357-CQ357-CR357</f>
        <v>0</v>
      </c>
      <c r="CT357" s="14"/>
    </row>
    <row r="358" spans="1:98" s="4" customFormat="1" ht="192" x14ac:dyDescent="0.3">
      <c r="A358" s="459" t="s">
        <v>747</v>
      </c>
      <c r="B358" s="460" t="s">
        <v>751</v>
      </c>
      <c r="C358" s="460" t="s">
        <v>1367</v>
      </c>
      <c r="D358" s="463" t="s">
        <v>98</v>
      </c>
      <c r="E358" s="463" t="s">
        <v>52</v>
      </c>
      <c r="F358" s="453" t="s">
        <v>752</v>
      </c>
      <c r="G358" s="465" t="s">
        <v>117</v>
      </c>
      <c r="H358" s="527"/>
      <c r="I358" s="463" t="s">
        <v>118</v>
      </c>
      <c r="J358" s="634" t="s">
        <v>118</v>
      </c>
      <c r="K358" s="463" t="s">
        <v>118</v>
      </c>
      <c r="L358" s="634" t="s">
        <v>118</v>
      </c>
      <c r="M358" s="657" t="s">
        <v>118</v>
      </c>
      <c r="N358" s="598"/>
      <c r="O358" s="617"/>
      <c r="P358" s="582"/>
      <c r="Q358" s="463" t="s">
        <v>118</v>
      </c>
      <c r="R358" s="463" t="s">
        <v>118</v>
      </c>
      <c r="S358" s="463" t="s">
        <v>118</v>
      </c>
      <c r="T358" s="463" t="s">
        <v>118</v>
      </c>
      <c r="U358" s="463" t="s">
        <v>118</v>
      </c>
      <c r="V358" s="463" t="s">
        <v>118</v>
      </c>
      <c r="W358" s="463" t="s">
        <v>118</v>
      </c>
      <c r="X358" s="463" t="s">
        <v>118</v>
      </c>
      <c r="Y358" s="463" t="s">
        <v>118</v>
      </c>
      <c r="Z358" s="463" t="s">
        <v>118</v>
      </c>
      <c r="AA358" s="466">
        <v>10000</v>
      </c>
      <c r="AB358" s="451"/>
      <c r="AC358" s="451"/>
      <c r="AD358" s="451"/>
      <c r="AE358" s="451">
        <v>10000</v>
      </c>
      <c r="AF358" s="466">
        <v>10000</v>
      </c>
      <c r="AG358" s="451"/>
      <c r="AH358" s="451"/>
      <c r="AI358" s="451"/>
      <c r="AJ358" s="451">
        <v>10000</v>
      </c>
      <c r="AK358" s="466">
        <v>10000</v>
      </c>
      <c r="AL358" s="451"/>
      <c r="AM358" s="451"/>
      <c r="AN358" s="451"/>
      <c r="AO358" s="451">
        <v>10000</v>
      </c>
      <c r="AP358" s="466">
        <v>10000</v>
      </c>
      <c r="AQ358" s="451"/>
      <c r="AR358" s="451"/>
      <c r="AS358" s="451"/>
      <c r="AT358" s="451">
        <v>10000</v>
      </c>
      <c r="AU358" s="466">
        <v>10000</v>
      </c>
      <c r="AV358" s="451"/>
      <c r="AW358" s="451"/>
      <c r="AX358" s="451"/>
      <c r="AY358" s="451">
        <v>10000</v>
      </c>
      <c r="AZ358" s="466">
        <v>10000</v>
      </c>
      <c r="BA358" s="451"/>
      <c r="BB358" s="451"/>
      <c r="BC358" s="451"/>
      <c r="BD358" s="451">
        <v>10000</v>
      </c>
      <c r="BE358" s="466">
        <v>10000</v>
      </c>
      <c r="BF358" s="451"/>
      <c r="BG358" s="451"/>
      <c r="BH358" s="451"/>
      <c r="BI358" s="451">
        <v>10000</v>
      </c>
      <c r="BJ358" s="466">
        <v>10000</v>
      </c>
      <c r="BK358" s="451"/>
      <c r="BL358" s="451"/>
      <c r="BM358" s="451"/>
      <c r="BN358" s="451">
        <v>10000</v>
      </c>
      <c r="BO358" s="466">
        <v>10000</v>
      </c>
      <c r="BP358" s="451"/>
      <c r="BQ358" s="451"/>
      <c r="BR358" s="451"/>
      <c r="BS358" s="451">
        <v>10000</v>
      </c>
      <c r="BT358" s="466">
        <v>10000</v>
      </c>
      <c r="BU358" s="451"/>
      <c r="BV358" s="451"/>
      <c r="BW358" s="451"/>
      <c r="BX358" s="451">
        <v>10000</v>
      </c>
      <c r="BY358" s="466">
        <v>10000</v>
      </c>
      <c r="BZ358" s="451"/>
      <c r="CA358" s="451"/>
      <c r="CB358" s="451"/>
      <c r="CC358" s="451">
        <v>10000</v>
      </c>
      <c r="CD358" s="466">
        <v>10000</v>
      </c>
      <c r="CE358" s="451"/>
      <c r="CF358" s="451"/>
      <c r="CG358" s="451"/>
      <c r="CH358" s="451">
        <v>10000</v>
      </c>
      <c r="CI358" s="466">
        <f t="shared" si="831"/>
        <v>30000</v>
      </c>
      <c r="CJ358" s="451">
        <f t="shared" si="832"/>
        <v>0</v>
      </c>
      <c r="CK358" s="451">
        <f t="shared" si="833"/>
        <v>0</v>
      </c>
      <c r="CL358" s="451">
        <f t="shared" si="834"/>
        <v>0</v>
      </c>
      <c r="CM358" s="451">
        <f t="shared" si="835"/>
        <v>30000</v>
      </c>
      <c r="CN358" s="456">
        <f t="shared" si="836"/>
        <v>120000</v>
      </c>
      <c r="CO358" s="457">
        <f t="shared" si="836"/>
        <v>0</v>
      </c>
      <c r="CP358" s="457">
        <f t="shared" si="836"/>
        <v>0</v>
      </c>
      <c r="CQ358" s="457">
        <f t="shared" si="836"/>
        <v>0</v>
      </c>
      <c r="CR358" s="457">
        <f t="shared" si="836"/>
        <v>120000</v>
      </c>
      <c r="CS358" s="456">
        <f t="shared" ref="CS358:CS360" si="837">CN358-CO358-CP358-CQ358-CR358</f>
        <v>0</v>
      </c>
      <c r="CT358" s="14"/>
    </row>
    <row r="359" spans="1:98" s="4" customFormat="1" ht="238.5" customHeight="1" x14ac:dyDescent="0.3">
      <c r="A359" s="862" t="s">
        <v>750</v>
      </c>
      <c r="B359" s="839" t="s">
        <v>753</v>
      </c>
      <c r="C359" s="498" t="s">
        <v>1368</v>
      </c>
      <c r="D359" s="474" t="s">
        <v>94</v>
      </c>
      <c r="E359" s="714" t="s">
        <v>52</v>
      </c>
      <c r="F359" s="500" t="s">
        <v>754</v>
      </c>
      <c r="G359" s="477" t="s">
        <v>117</v>
      </c>
      <c r="H359" s="527"/>
      <c r="I359" s="476" t="s">
        <v>118</v>
      </c>
      <c r="J359" s="634" t="s">
        <v>118</v>
      </c>
      <c r="K359" s="476" t="s">
        <v>140</v>
      </c>
      <c r="L359" s="634" t="s">
        <v>118</v>
      </c>
      <c r="M359" s="657"/>
      <c r="N359" s="598" t="s">
        <v>1550</v>
      </c>
      <c r="O359" s="617" t="s">
        <v>1550</v>
      </c>
      <c r="P359" s="582"/>
      <c r="Q359" s="476" t="s">
        <v>118</v>
      </c>
      <c r="R359" s="476" t="s">
        <v>118</v>
      </c>
      <c r="S359" s="476" t="s">
        <v>118</v>
      </c>
      <c r="T359" s="476" t="s">
        <v>118</v>
      </c>
      <c r="U359" s="476" t="s">
        <v>118</v>
      </c>
      <c r="V359" s="476" t="s">
        <v>118</v>
      </c>
      <c r="W359" s="476" t="s">
        <v>118</v>
      </c>
      <c r="X359" s="476" t="s">
        <v>118</v>
      </c>
      <c r="Y359" s="476" t="s">
        <v>118</v>
      </c>
      <c r="Z359" s="476" t="s">
        <v>118</v>
      </c>
      <c r="AA359" s="494"/>
      <c r="AB359" s="491"/>
      <c r="AC359" s="491"/>
      <c r="AD359" s="491"/>
      <c r="AE359" s="491"/>
      <c r="AF359" s="70"/>
      <c r="AG359" s="70"/>
      <c r="AH359" s="70"/>
      <c r="AI359" s="70"/>
      <c r="AJ359" s="70"/>
      <c r="AK359" s="70"/>
      <c r="AL359" s="70"/>
      <c r="AM359" s="70"/>
      <c r="AN359" s="70"/>
      <c r="AO359" s="70"/>
      <c r="AP359" s="77"/>
      <c r="AQ359" s="70"/>
      <c r="AR359" s="70"/>
      <c r="AS359" s="70"/>
      <c r="AT359" s="70"/>
      <c r="AU359" s="77"/>
      <c r="AV359" s="70"/>
      <c r="AW359" s="70"/>
      <c r="AX359" s="70"/>
      <c r="AY359" s="70"/>
      <c r="AZ359" s="77"/>
      <c r="BA359" s="70"/>
      <c r="BB359" s="70"/>
      <c r="BC359" s="70"/>
      <c r="BD359" s="70"/>
      <c r="BE359" s="77"/>
      <c r="BF359" s="70"/>
      <c r="BG359" s="70"/>
      <c r="BH359" s="70"/>
      <c r="BI359" s="70"/>
      <c r="BJ359" s="77"/>
      <c r="BK359" s="70"/>
      <c r="BL359" s="70"/>
      <c r="BM359" s="70"/>
      <c r="BN359" s="70"/>
      <c r="BO359" s="77"/>
      <c r="BP359" s="70"/>
      <c r="BQ359" s="70"/>
      <c r="BR359" s="70"/>
      <c r="BS359" s="70"/>
      <c r="BT359" s="77"/>
      <c r="BU359" s="70"/>
      <c r="BV359" s="70"/>
      <c r="BW359" s="70"/>
      <c r="BX359" s="70"/>
      <c r="BY359" s="77"/>
      <c r="BZ359" s="70"/>
      <c r="CA359" s="70"/>
      <c r="CB359" s="70"/>
      <c r="CC359" s="70"/>
      <c r="CD359" s="77"/>
      <c r="CE359" s="70"/>
      <c r="CF359" s="70"/>
      <c r="CG359" s="70"/>
      <c r="CH359" s="70"/>
      <c r="CI359" s="494">
        <f t="shared" si="831"/>
        <v>0</v>
      </c>
      <c r="CJ359" s="491">
        <f t="shared" si="832"/>
        <v>0</v>
      </c>
      <c r="CK359" s="491">
        <f t="shared" si="833"/>
        <v>0</v>
      </c>
      <c r="CL359" s="491">
        <f t="shared" si="834"/>
        <v>0</v>
      </c>
      <c r="CM359" s="491">
        <f t="shared" si="835"/>
        <v>0</v>
      </c>
      <c r="CN359" s="501">
        <f t="shared" si="836"/>
        <v>0</v>
      </c>
      <c r="CO359" s="492">
        <f t="shared" si="836"/>
        <v>0</v>
      </c>
      <c r="CP359" s="492">
        <f t="shared" si="836"/>
        <v>0</v>
      </c>
      <c r="CQ359" s="492">
        <f t="shared" si="836"/>
        <v>0</v>
      </c>
      <c r="CR359" s="492">
        <f t="shared" si="836"/>
        <v>0</v>
      </c>
      <c r="CS359" s="501">
        <f t="shared" si="837"/>
        <v>0</v>
      </c>
      <c r="CT359" s="471"/>
    </row>
    <row r="360" spans="1:98" s="4" customFormat="1" ht="183.75" customHeight="1" x14ac:dyDescent="0.3">
      <c r="A360" s="863"/>
      <c r="B360" s="840"/>
      <c r="C360" s="498" t="s">
        <v>1369</v>
      </c>
      <c r="D360" s="474" t="s">
        <v>94</v>
      </c>
      <c r="E360" s="715"/>
      <c r="F360" s="500" t="s">
        <v>755</v>
      </c>
      <c r="G360" s="477" t="s">
        <v>117</v>
      </c>
      <c r="H360" s="527"/>
      <c r="I360" s="476" t="s">
        <v>118</v>
      </c>
      <c r="J360" s="634" t="s">
        <v>118</v>
      </c>
      <c r="K360" s="476" t="s">
        <v>140</v>
      </c>
      <c r="L360" s="634" t="s">
        <v>118</v>
      </c>
      <c r="M360" s="657"/>
      <c r="N360" s="598" t="s">
        <v>1550</v>
      </c>
      <c r="O360" s="617" t="s">
        <v>1550</v>
      </c>
      <c r="P360" s="582"/>
      <c r="Q360" s="476" t="s">
        <v>118</v>
      </c>
      <c r="R360" s="476" t="s">
        <v>118</v>
      </c>
      <c r="S360" s="476" t="s">
        <v>118</v>
      </c>
      <c r="T360" s="476" t="s">
        <v>118</v>
      </c>
      <c r="U360" s="476" t="s">
        <v>118</v>
      </c>
      <c r="V360" s="476" t="s">
        <v>118</v>
      </c>
      <c r="W360" s="476" t="s">
        <v>118</v>
      </c>
      <c r="X360" s="476" t="s">
        <v>118</v>
      </c>
      <c r="Y360" s="476" t="s">
        <v>118</v>
      </c>
      <c r="Z360" s="476" t="s">
        <v>118</v>
      </c>
      <c r="AA360" s="494"/>
      <c r="AB360" s="491"/>
      <c r="AC360" s="491"/>
      <c r="AD360" s="491"/>
      <c r="AE360" s="491"/>
      <c r="AF360" s="70"/>
      <c r="AG360" s="70"/>
      <c r="AH360" s="70"/>
      <c r="AI360" s="70"/>
      <c r="AJ360" s="70"/>
      <c r="AK360" s="70"/>
      <c r="AL360" s="70"/>
      <c r="AM360" s="70"/>
      <c r="AN360" s="70"/>
      <c r="AO360" s="70"/>
      <c r="AP360" s="77"/>
      <c r="AQ360" s="70"/>
      <c r="AR360" s="70"/>
      <c r="AS360" s="70"/>
      <c r="AT360" s="70"/>
      <c r="AU360" s="77"/>
      <c r="AV360" s="70"/>
      <c r="AW360" s="70"/>
      <c r="AX360" s="70"/>
      <c r="AY360" s="70"/>
      <c r="AZ360" s="77"/>
      <c r="BA360" s="70"/>
      <c r="BB360" s="70"/>
      <c r="BC360" s="70"/>
      <c r="BD360" s="70"/>
      <c r="BE360" s="77"/>
      <c r="BF360" s="70"/>
      <c r="BG360" s="70"/>
      <c r="BH360" s="70"/>
      <c r="BI360" s="70"/>
      <c r="BJ360" s="77"/>
      <c r="BK360" s="70"/>
      <c r="BL360" s="70"/>
      <c r="BM360" s="70"/>
      <c r="BN360" s="70"/>
      <c r="BO360" s="77"/>
      <c r="BP360" s="70"/>
      <c r="BQ360" s="70"/>
      <c r="BR360" s="70"/>
      <c r="BS360" s="70"/>
      <c r="BT360" s="77"/>
      <c r="BU360" s="70"/>
      <c r="BV360" s="70"/>
      <c r="BW360" s="70"/>
      <c r="BX360" s="70"/>
      <c r="BY360" s="77"/>
      <c r="BZ360" s="70"/>
      <c r="CA360" s="70"/>
      <c r="CB360" s="70"/>
      <c r="CC360" s="70"/>
      <c r="CD360" s="77"/>
      <c r="CE360" s="70"/>
      <c r="CF360" s="70"/>
      <c r="CG360" s="70"/>
      <c r="CH360" s="70"/>
      <c r="CI360" s="494">
        <f t="shared" si="831"/>
        <v>0</v>
      </c>
      <c r="CJ360" s="491">
        <f t="shared" si="832"/>
        <v>0</v>
      </c>
      <c r="CK360" s="491">
        <f t="shared" si="833"/>
        <v>0</v>
      </c>
      <c r="CL360" s="491">
        <f t="shared" si="834"/>
        <v>0</v>
      </c>
      <c r="CM360" s="491">
        <f t="shared" si="835"/>
        <v>0</v>
      </c>
      <c r="CN360" s="501">
        <f t="shared" si="836"/>
        <v>0</v>
      </c>
      <c r="CO360" s="492">
        <f t="shared" si="836"/>
        <v>0</v>
      </c>
      <c r="CP360" s="492">
        <f t="shared" si="836"/>
        <v>0</v>
      </c>
      <c r="CQ360" s="492">
        <f t="shared" si="836"/>
        <v>0</v>
      </c>
      <c r="CR360" s="492">
        <f t="shared" si="836"/>
        <v>0</v>
      </c>
      <c r="CS360" s="501">
        <f t="shared" si="837"/>
        <v>0</v>
      </c>
      <c r="CT360" s="471"/>
    </row>
    <row r="361" spans="1:98" x14ac:dyDescent="0.3">
      <c r="A361" s="362" t="s">
        <v>756</v>
      </c>
      <c r="B361" s="813" t="s">
        <v>757</v>
      </c>
      <c r="C361" s="813"/>
      <c r="D361" s="813"/>
      <c r="E361" s="813"/>
      <c r="F361" s="813"/>
      <c r="G361" s="813"/>
      <c r="H361" s="813"/>
      <c r="I361" s="813"/>
      <c r="J361" s="813"/>
      <c r="K361" s="813"/>
      <c r="L361" s="813"/>
      <c r="M361" s="813"/>
      <c r="N361" s="813"/>
      <c r="O361" s="813"/>
      <c r="P361" s="813"/>
      <c r="Q361" s="813"/>
      <c r="R361" s="813"/>
      <c r="S361" s="813"/>
      <c r="T361" s="813"/>
      <c r="U361" s="813"/>
      <c r="V361" s="813"/>
      <c r="W361" s="813"/>
      <c r="X361" s="813"/>
      <c r="Y361" s="813"/>
      <c r="Z361" s="813"/>
      <c r="AA361" s="813"/>
      <c r="AB361" s="813"/>
      <c r="AC361" s="813"/>
      <c r="AD361" s="813"/>
      <c r="AE361" s="813"/>
      <c r="AF361" s="813"/>
      <c r="AG361" s="813"/>
      <c r="AH361" s="813"/>
      <c r="AI361" s="813"/>
      <c r="AJ361" s="813"/>
      <c r="AK361" s="813"/>
      <c r="AL361" s="813"/>
      <c r="AM361" s="813"/>
      <c r="AN361" s="813"/>
      <c r="AO361" s="813"/>
      <c r="AP361" s="813"/>
      <c r="AQ361" s="813"/>
      <c r="AR361" s="813"/>
      <c r="AS361" s="813"/>
      <c r="AT361" s="813"/>
      <c r="AU361" s="813"/>
      <c r="AV361" s="813"/>
      <c r="AW361" s="813"/>
      <c r="AX361" s="813"/>
      <c r="AY361" s="813"/>
      <c r="AZ361" s="813"/>
      <c r="BA361" s="813"/>
      <c r="BB361" s="813"/>
      <c r="BC361" s="813"/>
      <c r="BD361" s="813"/>
      <c r="BE361" s="813"/>
      <c r="BF361" s="813"/>
      <c r="BG361" s="813"/>
      <c r="BH361" s="813"/>
      <c r="BI361" s="813"/>
      <c r="BJ361" s="813"/>
      <c r="BK361" s="813"/>
      <c r="BL361" s="813"/>
      <c r="BM361" s="813"/>
      <c r="BN361" s="813"/>
      <c r="BO361" s="813"/>
      <c r="BP361" s="813"/>
      <c r="BQ361" s="813"/>
      <c r="BR361" s="813"/>
      <c r="BS361" s="813"/>
      <c r="BT361" s="813"/>
      <c r="BU361" s="813"/>
      <c r="BV361" s="813"/>
      <c r="BW361" s="813"/>
      <c r="BX361" s="813"/>
      <c r="BY361" s="813"/>
      <c r="BZ361" s="813"/>
      <c r="CA361" s="813"/>
      <c r="CB361" s="813"/>
      <c r="CC361" s="813"/>
      <c r="CD361" s="813"/>
      <c r="CE361" s="813"/>
      <c r="CF361" s="813"/>
      <c r="CG361" s="813"/>
      <c r="CH361" s="813"/>
      <c r="CI361" s="813"/>
      <c r="CJ361" s="813"/>
      <c r="CK361" s="813"/>
      <c r="CL361" s="813"/>
      <c r="CM361" s="813"/>
      <c r="CN361" s="277">
        <f t="shared" ref="CN361:CS361" si="838">CN362+CN363+CN364+CN366+CN367+CN368+CN369+CN370+CN371+CN372+CN374+CN375+CN376+CN377++CN378+CN379+CN380+CN381+CN382+CN383+CN384+CN385+CN387+CN389+CN390+CN391+CN392+CN393+CN394+CN395+CN396+CN397+CN398+CN399+CN400</f>
        <v>1279471.7719999999</v>
      </c>
      <c r="CO361" s="277">
        <f t="shared" si="838"/>
        <v>67067.100000000006</v>
      </c>
      <c r="CP361" s="277">
        <f t="shared" si="838"/>
        <v>0</v>
      </c>
      <c r="CQ361" s="277">
        <f t="shared" si="838"/>
        <v>0</v>
      </c>
      <c r="CR361" s="277">
        <f t="shared" si="838"/>
        <v>1026356.672</v>
      </c>
      <c r="CS361" s="273">
        <f t="shared" si="838"/>
        <v>186047.99999999994</v>
      </c>
    </row>
    <row r="362" spans="1:98" s="4" customFormat="1" ht="61.5" customHeight="1" x14ac:dyDescent="0.3">
      <c r="A362" s="417" t="s">
        <v>758</v>
      </c>
      <c r="B362" s="413" t="s">
        <v>1166</v>
      </c>
      <c r="C362" s="413" t="s">
        <v>1380</v>
      </c>
      <c r="D362" s="405" t="s">
        <v>1158</v>
      </c>
      <c r="E362" s="416">
        <v>2019</v>
      </c>
      <c r="F362" s="421" t="s">
        <v>1240</v>
      </c>
      <c r="G362" s="416" t="s">
        <v>117</v>
      </c>
      <c r="H362" s="528"/>
      <c r="I362" s="416" t="s">
        <v>118</v>
      </c>
      <c r="J362" s="630"/>
      <c r="K362" s="517" t="s">
        <v>118</v>
      </c>
      <c r="L362" s="630"/>
      <c r="M362" s="702"/>
      <c r="N362" s="598" t="s">
        <v>1588</v>
      </c>
      <c r="O362" s="617"/>
      <c r="P362" s="582"/>
      <c r="Q362" s="416"/>
      <c r="R362" s="416"/>
      <c r="S362" s="416"/>
      <c r="T362" s="416"/>
      <c r="U362" s="416"/>
      <c r="V362" s="416"/>
      <c r="W362" s="416"/>
      <c r="X362" s="416"/>
      <c r="Y362" s="416"/>
      <c r="Z362" s="416"/>
      <c r="AA362" s="82">
        <f>SUM(AB362:AE362)</f>
        <v>7521.8</v>
      </c>
      <c r="AB362" s="55">
        <v>7521.8</v>
      </c>
      <c r="AC362" s="55"/>
      <c r="AD362" s="55"/>
      <c r="AE362" s="55"/>
      <c r="AF362" s="82">
        <f>SUM(AG362:AJ362)</f>
        <v>20332.900000000001</v>
      </c>
      <c r="AG362" s="55">
        <v>20332.900000000001</v>
      </c>
      <c r="AH362" s="55"/>
      <c r="AI362" s="55"/>
      <c r="AJ362" s="55"/>
      <c r="AK362" s="82">
        <f>SUM(AL362:AO362)</f>
        <v>20332.900000000001</v>
      </c>
      <c r="AL362" s="55">
        <v>20332.900000000001</v>
      </c>
      <c r="AM362" s="55"/>
      <c r="AN362" s="55"/>
      <c r="AO362" s="55"/>
      <c r="AP362" s="82">
        <v>20332.900000000001</v>
      </c>
      <c r="AQ362" s="55"/>
      <c r="AR362" s="55"/>
      <c r="AS362" s="55"/>
      <c r="AT362" s="55"/>
      <c r="AU362" s="82">
        <v>20332.900000000001</v>
      </c>
      <c r="AV362" s="55"/>
      <c r="AW362" s="55"/>
      <c r="AX362" s="55"/>
      <c r="AY362" s="55"/>
      <c r="AZ362" s="82">
        <v>20332.900000000001</v>
      </c>
      <c r="BA362" s="55"/>
      <c r="BB362" s="55"/>
      <c r="BC362" s="55"/>
      <c r="BD362" s="55"/>
      <c r="BE362" s="82">
        <v>20332.900000000001</v>
      </c>
      <c r="BF362" s="55"/>
      <c r="BG362" s="55"/>
      <c r="BH362" s="55"/>
      <c r="BI362" s="55"/>
      <c r="BJ362" s="82">
        <v>20332.900000000001</v>
      </c>
      <c r="BK362" s="55"/>
      <c r="BL362" s="55"/>
      <c r="BM362" s="55"/>
      <c r="BN362" s="55"/>
      <c r="BO362" s="82">
        <v>20332.900000000001</v>
      </c>
      <c r="BP362" s="55"/>
      <c r="BQ362" s="55"/>
      <c r="BR362" s="55"/>
      <c r="BS362" s="55"/>
      <c r="BT362" s="82">
        <v>20332.900000000001</v>
      </c>
      <c r="BU362" s="55"/>
      <c r="BV362" s="55"/>
      <c r="BW362" s="55"/>
      <c r="BX362" s="55"/>
      <c r="BY362" s="82">
        <v>20332.900000000001</v>
      </c>
      <c r="BZ362" s="55"/>
      <c r="CA362" s="55"/>
      <c r="CB362" s="55"/>
      <c r="CC362" s="55"/>
      <c r="CD362" s="82">
        <v>20332.900000000001</v>
      </c>
      <c r="CE362" s="55"/>
      <c r="CF362" s="55"/>
      <c r="CG362" s="55"/>
      <c r="CH362" s="55"/>
      <c r="CI362" s="420">
        <f>AA362+AF362+AK362</f>
        <v>48187.600000000006</v>
      </c>
      <c r="CJ362" s="401">
        <f>AB362+AG362+AL362</f>
        <v>48187.600000000006</v>
      </c>
      <c r="CK362" s="401">
        <f>AC362+AH362+AM362</f>
        <v>0</v>
      </c>
      <c r="CL362" s="401">
        <f>AD362+AI362+AN362</f>
        <v>0</v>
      </c>
      <c r="CM362" s="401">
        <f>AE362+AJ362+AO362</f>
        <v>0</v>
      </c>
      <c r="CN362" s="410">
        <f t="shared" ref="CN362:CR364" si="839">AA362+AF362+AK362+AP362+AU362+AZ362+BE362+BJ362+BO362+BT362+BY362+CD362</f>
        <v>231183.69999999995</v>
      </c>
      <c r="CO362" s="419">
        <f t="shared" si="839"/>
        <v>48187.600000000006</v>
      </c>
      <c r="CP362" s="419">
        <f t="shared" si="839"/>
        <v>0</v>
      </c>
      <c r="CQ362" s="419">
        <f t="shared" si="839"/>
        <v>0</v>
      </c>
      <c r="CR362" s="419">
        <f t="shared" si="839"/>
        <v>0</v>
      </c>
      <c r="CS362" s="410">
        <f>CN362-CO362-CP362-CQ362-CR362</f>
        <v>182996.09999999995</v>
      </c>
      <c r="CT362" s="14"/>
    </row>
    <row r="363" spans="1:98" s="4" customFormat="1" ht="256.5" customHeight="1" x14ac:dyDescent="0.3">
      <c r="A363" s="418" t="s">
        <v>760</v>
      </c>
      <c r="B363" s="404" t="s">
        <v>759</v>
      </c>
      <c r="C363" s="404" t="s">
        <v>860</v>
      </c>
      <c r="D363" s="405" t="s">
        <v>1145</v>
      </c>
      <c r="E363" s="394" t="s">
        <v>418</v>
      </c>
      <c r="F363" s="61" t="s">
        <v>1229</v>
      </c>
      <c r="G363" s="416" t="s">
        <v>117</v>
      </c>
      <c r="H363" s="528"/>
      <c r="I363" s="416"/>
      <c r="J363" s="630"/>
      <c r="K363" s="716" t="s">
        <v>118</v>
      </c>
      <c r="L363" s="630"/>
      <c r="M363" s="718"/>
      <c r="N363" s="761" t="s">
        <v>1589</v>
      </c>
      <c r="O363" s="777" t="s">
        <v>1589</v>
      </c>
      <c r="P363" s="568"/>
      <c r="Q363" s="416"/>
      <c r="R363" s="416"/>
      <c r="S363" s="416"/>
      <c r="T363" s="416"/>
      <c r="U363" s="416"/>
      <c r="V363" s="416"/>
      <c r="W363" s="416"/>
      <c r="X363" s="416"/>
      <c r="Y363" s="416"/>
      <c r="Z363" s="416" t="s">
        <v>118</v>
      </c>
      <c r="AA363" s="409"/>
      <c r="AB363" s="408"/>
      <c r="AC363" s="408"/>
      <c r="AD363" s="408"/>
      <c r="AE363" s="408"/>
      <c r="AF363" s="409"/>
      <c r="AG363" s="408"/>
      <c r="AH363" s="408"/>
      <c r="AI363" s="408"/>
      <c r="AJ363" s="408"/>
      <c r="AK363" s="409"/>
      <c r="AL363" s="408"/>
      <c r="AM363" s="408"/>
      <c r="AN363" s="408"/>
      <c r="AO363" s="408"/>
      <c r="AP363" s="409"/>
      <c r="AQ363" s="408"/>
      <c r="AR363" s="408"/>
      <c r="AS363" s="408"/>
      <c r="AT363" s="408"/>
      <c r="AU363" s="409"/>
      <c r="AV363" s="408"/>
      <c r="AW363" s="408"/>
      <c r="AX363" s="408"/>
      <c r="AY363" s="408"/>
      <c r="AZ363" s="409"/>
      <c r="BA363" s="408"/>
      <c r="BB363" s="408"/>
      <c r="BC363" s="408"/>
      <c r="BD363" s="408"/>
      <c r="BE363" s="409"/>
      <c r="BF363" s="408"/>
      <c r="BG363" s="408"/>
      <c r="BH363" s="408"/>
      <c r="BI363" s="408"/>
      <c r="BJ363" s="409"/>
      <c r="BK363" s="408"/>
      <c r="BL363" s="408"/>
      <c r="BM363" s="408"/>
      <c r="BN363" s="408"/>
      <c r="BO363" s="409"/>
      <c r="BP363" s="408"/>
      <c r="BQ363" s="408"/>
      <c r="BR363" s="408"/>
      <c r="BS363" s="408"/>
      <c r="BT363" s="409"/>
      <c r="BU363" s="408"/>
      <c r="BV363" s="408"/>
      <c r="BW363" s="408"/>
      <c r="BX363" s="408"/>
      <c r="BY363" s="409"/>
      <c r="BZ363" s="408"/>
      <c r="CA363" s="408"/>
      <c r="CB363" s="408"/>
      <c r="CC363" s="408"/>
      <c r="CD363" s="409"/>
      <c r="CE363" s="408"/>
      <c r="CF363" s="408"/>
      <c r="CG363" s="408"/>
      <c r="CH363" s="408"/>
      <c r="CI363" s="396">
        <f>AA363+AF363+AK363</f>
        <v>0</v>
      </c>
      <c r="CJ363" s="397">
        <f t="shared" ref="CJ363" si="840">AB363+AG363+AL363</f>
        <v>0</v>
      </c>
      <c r="CK363" s="397">
        <f t="shared" ref="CK363" si="841">AC363+AH363+AM363</f>
        <v>0</v>
      </c>
      <c r="CL363" s="397">
        <f t="shared" ref="CL363" si="842">AD363+AI363+AN363</f>
        <v>0</v>
      </c>
      <c r="CM363" s="397">
        <f t="shared" ref="CM363" si="843">AE363+AJ363+AO363</f>
        <v>0</v>
      </c>
      <c r="CN363" s="393">
        <f t="shared" si="839"/>
        <v>0</v>
      </c>
      <c r="CO363" s="395">
        <f t="shared" si="839"/>
        <v>0</v>
      </c>
      <c r="CP363" s="395">
        <f t="shared" si="839"/>
        <v>0</v>
      </c>
      <c r="CQ363" s="395">
        <f t="shared" si="839"/>
        <v>0</v>
      </c>
      <c r="CR363" s="395">
        <f t="shared" si="839"/>
        <v>0</v>
      </c>
      <c r="CS363" s="393">
        <f>CN363-CO363-CP363-CQ363-CR363</f>
        <v>0</v>
      </c>
      <c r="CT363" s="14"/>
    </row>
    <row r="364" spans="1:98" s="4" customFormat="1" ht="78" customHeight="1" x14ac:dyDescent="0.3">
      <c r="A364" s="844" t="s">
        <v>1370</v>
      </c>
      <c r="B364" s="777" t="s">
        <v>861</v>
      </c>
      <c r="C364" s="777" t="s">
        <v>862</v>
      </c>
      <c r="D364" s="714" t="s">
        <v>1158</v>
      </c>
      <c r="E364" s="716" t="s">
        <v>273</v>
      </c>
      <c r="F364" s="61" t="s">
        <v>1230</v>
      </c>
      <c r="G364" s="50" t="s">
        <v>117</v>
      </c>
      <c r="H364" s="528"/>
      <c r="I364" s="126"/>
      <c r="J364" s="126" t="s">
        <v>118</v>
      </c>
      <c r="K364" s="717"/>
      <c r="L364" s="126"/>
      <c r="M364" s="719"/>
      <c r="N364" s="762"/>
      <c r="O364" s="778"/>
      <c r="P364" s="569"/>
      <c r="Q364" s="126"/>
      <c r="R364" s="126"/>
      <c r="S364" s="126"/>
      <c r="T364" s="126"/>
      <c r="U364" s="126"/>
      <c r="V364" s="126"/>
      <c r="W364" s="126"/>
      <c r="X364" s="126"/>
      <c r="Y364" s="126"/>
      <c r="Z364" s="126"/>
      <c r="AA364" s="177"/>
      <c r="AB364" s="174"/>
      <c r="AC364" s="174"/>
      <c r="AD364" s="174"/>
      <c r="AE364" s="174"/>
      <c r="AF364" s="177"/>
      <c r="AG364" s="174"/>
      <c r="AH364" s="174"/>
      <c r="AI364" s="174"/>
      <c r="AJ364" s="174"/>
      <c r="AK364" s="177"/>
      <c r="AL364" s="174"/>
      <c r="AM364" s="174"/>
      <c r="AN364" s="174"/>
      <c r="AO364" s="174"/>
      <c r="AP364" s="177"/>
      <c r="AQ364" s="174"/>
      <c r="AR364" s="174"/>
      <c r="AS364" s="174"/>
      <c r="AT364" s="174"/>
      <c r="AU364" s="177"/>
      <c r="AV364" s="174"/>
      <c r="AW364" s="174"/>
      <c r="AX364" s="174"/>
      <c r="AY364" s="174"/>
      <c r="AZ364" s="177"/>
      <c r="BA364" s="174"/>
      <c r="BB364" s="174"/>
      <c r="BC364" s="174"/>
      <c r="BD364" s="174"/>
      <c r="BE364" s="177"/>
      <c r="BF364" s="174"/>
      <c r="BG364" s="174"/>
      <c r="BH364" s="174"/>
      <c r="BI364" s="174"/>
      <c r="BJ364" s="177"/>
      <c r="BK364" s="174"/>
      <c r="BL364" s="174"/>
      <c r="BM364" s="174"/>
      <c r="BN364" s="174"/>
      <c r="BO364" s="177"/>
      <c r="BP364" s="174"/>
      <c r="BQ364" s="174"/>
      <c r="BR364" s="174"/>
      <c r="BS364" s="174"/>
      <c r="BT364" s="177"/>
      <c r="BU364" s="174"/>
      <c r="BV364" s="174"/>
      <c r="BW364" s="174"/>
      <c r="BX364" s="174"/>
      <c r="BY364" s="177"/>
      <c r="BZ364" s="174"/>
      <c r="CA364" s="174"/>
      <c r="CB364" s="174"/>
      <c r="CC364" s="174"/>
      <c r="CD364" s="177"/>
      <c r="CE364" s="174"/>
      <c r="CF364" s="174"/>
      <c r="CG364" s="174"/>
      <c r="CH364" s="174"/>
      <c r="CI364" s="153">
        <f t="shared" ref="CI364" si="844">AA364+AF364+AK364</f>
        <v>0</v>
      </c>
      <c r="CJ364" s="155">
        <f t="shared" ref="CJ364" si="845">AB364+AG364+AL364</f>
        <v>0</v>
      </c>
      <c r="CK364" s="155">
        <f t="shared" ref="CK364" si="846">AC364+AH364+AM364</f>
        <v>0</v>
      </c>
      <c r="CL364" s="155">
        <f t="shared" ref="CL364" si="847">AD364+AI364+AN364</f>
        <v>0</v>
      </c>
      <c r="CM364" s="155">
        <f t="shared" ref="CM364" si="848">AE364+AJ364+AO364</f>
        <v>0</v>
      </c>
      <c r="CN364" s="773">
        <f>AA364+AF364+AK364+AP364+AU364+AZ364+BE364+BJ364+BO364+BT364+BY364+CD364</f>
        <v>0</v>
      </c>
      <c r="CO364" s="791">
        <f t="shared" si="839"/>
        <v>0</v>
      </c>
      <c r="CP364" s="791">
        <f t="shared" si="839"/>
        <v>0</v>
      </c>
      <c r="CQ364" s="791">
        <f t="shared" si="839"/>
        <v>0</v>
      </c>
      <c r="CR364" s="791">
        <f t="shared" si="839"/>
        <v>0</v>
      </c>
      <c r="CS364" s="775">
        <f t="shared" ref="CS364" si="849">AF364+AK364+AP364+AU364+AZ364+BE364+BJ364+BO364+BT364+BY364+CD364+CI364</f>
        <v>0</v>
      </c>
      <c r="CT364" s="760"/>
    </row>
    <row r="365" spans="1:98" s="4" customFormat="1" ht="192" customHeight="1" x14ac:dyDescent="0.3">
      <c r="A365" s="845"/>
      <c r="B365" s="778"/>
      <c r="C365" s="778"/>
      <c r="D365" s="715"/>
      <c r="E365" s="717"/>
      <c r="F365" s="61" t="s">
        <v>1169</v>
      </c>
      <c r="G365" s="50" t="s">
        <v>74</v>
      </c>
      <c r="H365" s="528"/>
      <c r="I365" s="126">
        <v>20000</v>
      </c>
      <c r="J365" s="126">
        <f>43540-I365</f>
        <v>23540</v>
      </c>
      <c r="K365" s="126">
        <v>5400</v>
      </c>
      <c r="L365" s="126">
        <v>27080</v>
      </c>
      <c r="M365" s="665"/>
      <c r="N365" s="614" t="s">
        <v>1590</v>
      </c>
      <c r="O365" s="614"/>
      <c r="P365" s="575"/>
      <c r="Q365" s="126">
        <f>70620-J365-I365</f>
        <v>27080</v>
      </c>
      <c r="R365" s="126">
        <f>101240-Q365-J365-I365</f>
        <v>30620</v>
      </c>
      <c r="S365" s="126">
        <f>135400-R365-Q365-J365-I365</f>
        <v>34160</v>
      </c>
      <c r="T365" s="126">
        <f>173100-S365-R365-Q365-J365-I365</f>
        <v>37700</v>
      </c>
      <c r="U365" s="126">
        <f>214340-T365-S365-R365-Q365-J365-I365</f>
        <v>41240</v>
      </c>
      <c r="V365" s="126">
        <v>44700</v>
      </c>
      <c r="W365" s="126">
        <v>51600</v>
      </c>
      <c r="X365" s="126">
        <v>55000</v>
      </c>
      <c r="Y365" s="126">
        <v>58000</v>
      </c>
      <c r="Z365" s="126">
        <v>60600</v>
      </c>
      <c r="AA365" s="177"/>
      <c r="AB365" s="174"/>
      <c r="AC365" s="174"/>
      <c r="AD365" s="174"/>
      <c r="AE365" s="174"/>
      <c r="AF365" s="177"/>
      <c r="AG365" s="174"/>
      <c r="AH365" s="174"/>
      <c r="AI365" s="174"/>
      <c r="AJ365" s="174"/>
      <c r="AK365" s="177"/>
      <c r="AL365" s="174"/>
      <c r="AM365" s="174"/>
      <c r="AN365" s="174"/>
      <c r="AO365" s="174"/>
      <c r="AP365" s="177"/>
      <c r="AQ365" s="174"/>
      <c r="AR365" s="174"/>
      <c r="AS365" s="174"/>
      <c r="AT365" s="174"/>
      <c r="AU365" s="177"/>
      <c r="AV365" s="174"/>
      <c r="AW365" s="174"/>
      <c r="AX365" s="174"/>
      <c r="AY365" s="174"/>
      <c r="AZ365" s="177"/>
      <c r="BA365" s="174"/>
      <c r="BB365" s="174"/>
      <c r="BC365" s="174"/>
      <c r="BD365" s="174"/>
      <c r="BE365" s="177"/>
      <c r="BF365" s="174"/>
      <c r="BG365" s="174"/>
      <c r="BH365" s="174"/>
      <c r="BI365" s="174"/>
      <c r="BJ365" s="177"/>
      <c r="BK365" s="174"/>
      <c r="BL365" s="174"/>
      <c r="BM365" s="174"/>
      <c r="BN365" s="174"/>
      <c r="BO365" s="177"/>
      <c r="BP365" s="174"/>
      <c r="BQ365" s="174"/>
      <c r="BR365" s="174"/>
      <c r="BS365" s="174"/>
      <c r="BT365" s="177"/>
      <c r="BU365" s="174"/>
      <c r="BV365" s="174"/>
      <c r="BW365" s="174"/>
      <c r="BX365" s="174"/>
      <c r="BY365" s="177"/>
      <c r="BZ365" s="174"/>
      <c r="CA365" s="174"/>
      <c r="CB365" s="174"/>
      <c r="CC365" s="174"/>
      <c r="CD365" s="177"/>
      <c r="CE365" s="174"/>
      <c r="CF365" s="174"/>
      <c r="CG365" s="174"/>
      <c r="CH365" s="174"/>
      <c r="CI365" s="153"/>
      <c r="CJ365" s="155"/>
      <c r="CK365" s="155"/>
      <c r="CL365" s="155"/>
      <c r="CM365" s="155"/>
      <c r="CN365" s="774"/>
      <c r="CO365" s="792"/>
      <c r="CP365" s="792"/>
      <c r="CQ365" s="792"/>
      <c r="CR365" s="792"/>
      <c r="CS365" s="776"/>
      <c r="CT365" s="760"/>
    </row>
    <row r="366" spans="1:98" s="4" customFormat="1" ht="168" x14ac:dyDescent="0.3">
      <c r="A366" s="195" t="s">
        <v>763</v>
      </c>
      <c r="B366" s="182" t="s">
        <v>1216</v>
      </c>
      <c r="C366" s="264" t="s">
        <v>1447</v>
      </c>
      <c r="D366" s="514" t="s">
        <v>1221</v>
      </c>
      <c r="E366" s="50" t="s">
        <v>143</v>
      </c>
      <c r="F366" s="74" t="s">
        <v>1217</v>
      </c>
      <c r="G366" s="50" t="s">
        <v>74</v>
      </c>
      <c r="H366" s="528"/>
      <c r="I366" s="50"/>
      <c r="J366" s="126">
        <v>10000</v>
      </c>
      <c r="K366" s="126">
        <v>9000</v>
      </c>
      <c r="L366" s="126">
        <v>20000</v>
      </c>
      <c r="M366" s="665">
        <v>14000</v>
      </c>
      <c r="N366" s="626" t="s">
        <v>1591</v>
      </c>
      <c r="O366" s="629" t="s">
        <v>1658</v>
      </c>
      <c r="P366" s="638"/>
      <c r="Q366" s="100">
        <v>20000</v>
      </c>
      <c r="R366" s="100">
        <v>20000</v>
      </c>
      <c r="S366" s="100">
        <v>20000</v>
      </c>
      <c r="T366" s="100">
        <v>20000</v>
      </c>
      <c r="U366" s="100">
        <v>20000</v>
      </c>
      <c r="V366" s="100">
        <v>20000</v>
      </c>
      <c r="W366" s="100">
        <v>20000</v>
      </c>
      <c r="X366" s="100">
        <v>20000</v>
      </c>
      <c r="Y366" s="100">
        <v>20000</v>
      </c>
      <c r="Z366" s="100">
        <v>20000</v>
      </c>
      <c r="AA366" s="82">
        <f t="shared" ref="AA366:AA368" si="850">SUM(AB366:AE366)</f>
        <v>21800</v>
      </c>
      <c r="AB366" s="55"/>
      <c r="AC366" s="55"/>
      <c r="AD366" s="55"/>
      <c r="AE366" s="55">
        <v>21800</v>
      </c>
      <c r="AF366" s="82">
        <f t="shared" ref="AF366" si="851">SUM(AG366:AJ366)</f>
        <v>10000</v>
      </c>
      <c r="AG366" s="55"/>
      <c r="AH366" s="55"/>
      <c r="AI366" s="55"/>
      <c r="AJ366" s="55">
        <v>10000</v>
      </c>
      <c r="AK366" s="82">
        <f t="shared" ref="AK366" si="852">SUM(AL366:AO366)</f>
        <v>10000</v>
      </c>
      <c r="AL366" s="55"/>
      <c r="AM366" s="55"/>
      <c r="AN366" s="55"/>
      <c r="AO366" s="55">
        <v>10000</v>
      </c>
      <c r="AP366" s="82"/>
      <c r="AQ366" s="55"/>
      <c r="AR366" s="55"/>
      <c r="AS366" s="55"/>
      <c r="AT366" s="55"/>
      <c r="AU366" s="82">
        <f>SUM(AV366:AY366)</f>
        <v>0</v>
      </c>
      <c r="AV366" s="55"/>
      <c r="AW366" s="55"/>
      <c r="AX366" s="55"/>
      <c r="AY366" s="55"/>
      <c r="AZ366" s="82">
        <f>SUM(BA366:BD366)</f>
        <v>0</v>
      </c>
      <c r="BA366" s="55"/>
      <c r="BB366" s="55"/>
      <c r="BC366" s="55"/>
      <c r="BD366" s="55"/>
      <c r="BE366" s="82">
        <f>SUM(BF366:BI366)</f>
        <v>0</v>
      </c>
      <c r="BF366" s="55"/>
      <c r="BG366" s="55"/>
      <c r="BH366" s="55"/>
      <c r="BI366" s="55"/>
      <c r="BJ366" s="82">
        <f>SUM(BK366:BN366)</f>
        <v>0</v>
      </c>
      <c r="BK366" s="55"/>
      <c r="BL366" s="55"/>
      <c r="BM366" s="55"/>
      <c r="BN366" s="55"/>
      <c r="BO366" s="82">
        <f>SUM(BP366:BS366)</f>
        <v>0</v>
      </c>
      <c r="BP366" s="55"/>
      <c r="BQ366" s="55"/>
      <c r="BR366" s="55"/>
      <c r="BS366" s="55"/>
      <c r="BT366" s="82">
        <f>SUM(BU366:BX366)</f>
        <v>0</v>
      </c>
      <c r="BU366" s="55"/>
      <c r="BV366" s="55"/>
      <c r="BW366" s="55"/>
      <c r="BX366" s="55"/>
      <c r="BY366" s="82">
        <f>SUM(BZ366:CC366)</f>
        <v>0</v>
      </c>
      <c r="BZ366" s="55"/>
      <c r="CA366" s="55"/>
      <c r="CB366" s="55"/>
      <c r="CC366" s="55"/>
      <c r="CD366" s="82">
        <f>SUM(CE366:CH366)</f>
        <v>0</v>
      </c>
      <c r="CE366" s="55"/>
      <c r="CF366" s="55"/>
      <c r="CG366" s="55"/>
      <c r="CH366" s="55"/>
      <c r="CI366" s="165">
        <f>AA366+AF366+AK366</f>
        <v>41800</v>
      </c>
      <c r="CJ366" s="164">
        <f>AB366+AG366+AL366</f>
        <v>0</v>
      </c>
      <c r="CK366" s="164">
        <f>AC366+AH366+AM366</f>
        <v>0</v>
      </c>
      <c r="CL366" s="164">
        <f>AD366+AI366+AN366</f>
        <v>0</v>
      </c>
      <c r="CM366" s="164">
        <f>AE366+AJ366+AO366</f>
        <v>41800</v>
      </c>
      <c r="CN366" s="181">
        <f t="shared" ref="CN366:CR372" si="853">AA366+AF366+AK366+AP366+AU366+AZ366+BE366+BJ366+BO366+BT366+BY366+CD366</f>
        <v>41800</v>
      </c>
      <c r="CO366" s="180">
        <f t="shared" si="853"/>
        <v>0</v>
      </c>
      <c r="CP366" s="180">
        <f t="shared" si="853"/>
        <v>0</v>
      </c>
      <c r="CQ366" s="180">
        <f t="shared" si="853"/>
        <v>0</v>
      </c>
      <c r="CR366" s="180">
        <f t="shared" si="853"/>
        <v>41800</v>
      </c>
      <c r="CS366" s="273">
        <f>CN366-CO366-CP366-CQ366-CR366</f>
        <v>0</v>
      </c>
      <c r="CT366" s="14"/>
    </row>
    <row r="367" spans="1:98" s="4" customFormat="1" ht="168" x14ac:dyDescent="0.3">
      <c r="A367" s="475" t="s">
        <v>765</v>
      </c>
      <c r="B367" s="498" t="s">
        <v>761</v>
      </c>
      <c r="C367" s="498" t="s">
        <v>859</v>
      </c>
      <c r="D367" s="476" t="s">
        <v>762</v>
      </c>
      <c r="E367" s="477" t="s">
        <v>203</v>
      </c>
      <c r="F367" s="500" t="s">
        <v>1231</v>
      </c>
      <c r="G367" s="477" t="s">
        <v>31</v>
      </c>
      <c r="H367" s="528"/>
      <c r="I367" s="477"/>
      <c r="J367" s="630">
        <v>152</v>
      </c>
      <c r="K367" s="477">
        <v>0</v>
      </c>
      <c r="L367" s="630">
        <v>152</v>
      </c>
      <c r="M367" s="702"/>
      <c r="N367" s="611" t="s">
        <v>1592</v>
      </c>
      <c r="O367" s="617" t="s">
        <v>1710</v>
      </c>
      <c r="P367" s="611"/>
      <c r="Q367" s="477">
        <v>152</v>
      </c>
      <c r="R367" s="477">
        <v>152</v>
      </c>
      <c r="S367" s="477">
        <v>152</v>
      </c>
      <c r="T367" s="477">
        <v>152</v>
      </c>
      <c r="U367" s="477">
        <v>152</v>
      </c>
      <c r="V367" s="477">
        <v>152</v>
      </c>
      <c r="W367" s="477">
        <v>152</v>
      </c>
      <c r="X367" s="477">
        <v>152</v>
      </c>
      <c r="Y367" s="477">
        <v>152</v>
      </c>
      <c r="Z367" s="477">
        <v>152</v>
      </c>
      <c r="AA367" s="82"/>
      <c r="AB367" s="55"/>
      <c r="AC367" s="55"/>
      <c r="AD367" s="55"/>
      <c r="AE367" s="55"/>
      <c r="AF367" s="82">
        <f>SUM(AG367:AJ367)</f>
        <v>628506.67200000002</v>
      </c>
      <c r="AG367" s="55"/>
      <c r="AH367" s="55"/>
      <c r="AI367" s="55"/>
      <c r="AJ367" s="55">
        <v>628506.67200000002</v>
      </c>
      <c r="AK367" s="82"/>
      <c r="AL367" s="55"/>
      <c r="AM367" s="55"/>
      <c r="AN367" s="55"/>
      <c r="AO367" s="55"/>
      <c r="AP367" s="82"/>
      <c r="AQ367" s="55"/>
      <c r="AR367" s="55"/>
      <c r="AS367" s="55"/>
      <c r="AT367" s="55"/>
      <c r="AU367" s="82"/>
      <c r="AV367" s="55"/>
      <c r="AW367" s="55"/>
      <c r="AX367" s="55"/>
      <c r="AY367" s="55"/>
      <c r="AZ367" s="82"/>
      <c r="BA367" s="55"/>
      <c r="BB367" s="55"/>
      <c r="BC367" s="55"/>
      <c r="BD367" s="55"/>
      <c r="BE367" s="82"/>
      <c r="BF367" s="55"/>
      <c r="BG367" s="55"/>
      <c r="BH367" s="55"/>
      <c r="BI367" s="55"/>
      <c r="BJ367" s="82"/>
      <c r="BK367" s="55"/>
      <c r="BL367" s="55"/>
      <c r="BM367" s="55"/>
      <c r="BN367" s="55"/>
      <c r="BO367" s="82"/>
      <c r="BP367" s="55"/>
      <c r="BQ367" s="55"/>
      <c r="BR367" s="55"/>
      <c r="BS367" s="55"/>
      <c r="BT367" s="82"/>
      <c r="BU367" s="55"/>
      <c r="BV367" s="55"/>
      <c r="BW367" s="55"/>
      <c r="BX367" s="55"/>
      <c r="BY367" s="82"/>
      <c r="BZ367" s="55"/>
      <c r="CA367" s="55"/>
      <c r="CB367" s="55"/>
      <c r="CC367" s="55"/>
      <c r="CD367" s="82"/>
      <c r="CE367" s="55"/>
      <c r="CF367" s="55"/>
      <c r="CG367" s="55"/>
      <c r="CH367" s="55"/>
      <c r="CI367" s="494">
        <f>AA367+AF367+AK367</f>
        <v>628506.67200000002</v>
      </c>
      <c r="CJ367" s="491">
        <f t="shared" ref="CJ367:CJ369" si="854">AB367+AG367+AL367</f>
        <v>0</v>
      </c>
      <c r="CK367" s="491">
        <f t="shared" ref="CK367:CK369" si="855">AC367+AH367+AM367</f>
        <v>0</v>
      </c>
      <c r="CL367" s="491">
        <f t="shared" ref="CL367:CL369" si="856">AD367+AI367+AN367</f>
        <v>0</v>
      </c>
      <c r="CM367" s="491">
        <f t="shared" ref="CM367:CM369" si="857">AE367+AJ367+AO367</f>
        <v>628506.67200000002</v>
      </c>
      <c r="CN367" s="501">
        <f t="shared" si="853"/>
        <v>628506.67200000002</v>
      </c>
      <c r="CO367" s="492">
        <f t="shared" si="853"/>
        <v>0</v>
      </c>
      <c r="CP367" s="492">
        <f t="shared" si="853"/>
        <v>0</v>
      </c>
      <c r="CQ367" s="492">
        <f t="shared" si="853"/>
        <v>0</v>
      </c>
      <c r="CR367" s="492">
        <f t="shared" si="853"/>
        <v>628506.67200000002</v>
      </c>
      <c r="CS367" s="501">
        <f t="shared" ref="CS367:CS371" si="858">CN367-CO367-CP367-CQ367-CR367</f>
        <v>0</v>
      </c>
      <c r="CT367" s="14"/>
    </row>
    <row r="368" spans="1:98" s="4" customFormat="1" ht="120" x14ac:dyDescent="0.3">
      <c r="A368" s="475" t="s">
        <v>768</v>
      </c>
      <c r="B368" s="498" t="s">
        <v>764</v>
      </c>
      <c r="C368" s="498" t="s">
        <v>1220</v>
      </c>
      <c r="D368" s="476" t="s">
        <v>1149</v>
      </c>
      <c r="E368" s="477" t="s">
        <v>143</v>
      </c>
      <c r="F368" s="500" t="s">
        <v>1231</v>
      </c>
      <c r="G368" s="477" t="s">
        <v>31</v>
      </c>
      <c r="H368" s="528"/>
      <c r="I368" s="477"/>
      <c r="J368" s="630">
        <v>82</v>
      </c>
      <c r="K368" s="477">
        <v>0</v>
      </c>
      <c r="L368" s="630">
        <v>82</v>
      </c>
      <c r="M368" s="702"/>
      <c r="N368" s="611" t="s">
        <v>1593</v>
      </c>
      <c r="O368" s="617" t="s">
        <v>1593</v>
      </c>
      <c r="P368" s="611"/>
      <c r="Q368" s="477">
        <v>82</v>
      </c>
      <c r="R368" s="477">
        <v>82</v>
      </c>
      <c r="S368" s="477">
        <v>82</v>
      </c>
      <c r="T368" s="477">
        <v>82</v>
      </c>
      <c r="U368" s="477">
        <v>82</v>
      </c>
      <c r="V368" s="477">
        <v>82</v>
      </c>
      <c r="W368" s="477">
        <v>82</v>
      </c>
      <c r="X368" s="477">
        <v>82</v>
      </c>
      <c r="Y368" s="477">
        <v>82</v>
      </c>
      <c r="Z368" s="477">
        <v>82</v>
      </c>
      <c r="AA368" s="82">
        <f t="shared" si="850"/>
        <v>115000</v>
      </c>
      <c r="AB368" s="55"/>
      <c r="AC368" s="55"/>
      <c r="AD368" s="55"/>
      <c r="AE368" s="55">
        <v>115000</v>
      </c>
      <c r="AF368" s="82"/>
      <c r="AG368" s="55"/>
      <c r="AH368" s="55"/>
      <c r="AI368" s="55"/>
      <c r="AJ368" s="55"/>
      <c r="AK368" s="82"/>
      <c r="AL368" s="55"/>
      <c r="AM368" s="55"/>
      <c r="AN368" s="55"/>
      <c r="AO368" s="55"/>
      <c r="AP368" s="82"/>
      <c r="AQ368" s="55"/>
      <c r="AR368" s="55"/>
      <c r="AS368" s="55"/>
      <c r="AT368" s="55"/>
      <c r="AU368" s="82"/>
      <c r="AV368" s="55"/>
      <c r="AW368" s="55"/>
      <c r="AX368" s="55"/>
      <c r="AY368" s="55"/>
      <c r="AZ368" s="82"/>
      <c r="BA368" s="55"/>
      <c r="BB368" s="55"/>
      <c r="BC368" s="55"/>
      <c r="BD368" s="55"/>
      <c r="BE368" s="82"/>
      <c r="BF368" s="55"/>
      <c r="BG368" s="55"/>
      <c r="BH368" s="55"/>
      <c r="BI368" s="55"/>
      <c r="BJ368" s="82"/>
      <c r="BK368" s="55"/>
      <c r="BL368" s="55"/>
      <c r="BM368" s="55"/>
      <c r="BN368" s="55"/>
      <c r="BO368" s="82"/>
      <c r="BP368" s="55"/>
      <c r="BQ368" s="55"/>
      <c r="BR368" s="55"/>
      <c r="BS368" s="55"/>
      <c r="BT368" s="82"/>
      <c r="BU368" s="55"/>
      <c r="BV368" s="55"/>
      <c r="BW368" s="55"/>
      <c r="BX368" s="55"/>
      <c r="BY368" s="82"/>
      <c r="BZ368" s="55"/>
      <c r="CA368" s="55"/>
      <c r="CB368" s="55"/>
      <c r="CC368" s="55"/>
      <c r="CD368" s="82"/>
      <c r="CE368" s="55"/>
      <c r="CF368" s="55"/>
      <c r="CG368" s="55"/>
      <c r="CH368" s="55"/>
      <c r="CI368" s="494">
        <f t="shared" ref="CI368:CI369" si="859">AA368+AF368+AK368</f>
        <v>115000</v>
      </c>
      <c r="CJ368" s="491">
        <f t="shared" si="854"/>
        <v>0</v>
      </c>
      <c r="CK368" s="491">
        <f t="shared" si="855"/>
        <v>0</v>
      </c>
      <c r="CL368" s="491">
        <f t="shared" si="856"/>
        <v>0</v>
      </c>
      <c r="CM368" s="491">
        <f t="shared" si="857"/>
        <v>115000</v>
      </c>
      <c r="CN368" s="501">
        <f t="shared" si="853"/>
        <v>115000</v>
      </c>
      <c r="CO368" s="492">
        <f t="shared" si="853"/>
        <v>0</v>
      </c>
      <c r="CP368" s="492">
        <f t="shared" si="853"/>
        <v>0</v>
      </c>
      <c r="CQ368" s="492">
        <f t="shared" si="853"/>
        <v>0</v>
      </c>
      <c r="CR368" s="492">
        <f t="shared" si="853"/>
        <v>115000</v>
      </c>
      <c r="CS368" s="501">
        <f t="shared" si="858"/>
        <v>0</v>
      </c>
      <c r="CT368" s="14"/>
    </row>
    <row r="369" spans="1:98" s="4" customFormat="1" ht="240" x14ac:dyDescent="0.3">
      <c r="A369" s="434" t="s">
        <v>769</v>
      </c>
      <c r="B369" s="431" t="s">
        <v>766</v>
      </c>
      <c r="C369" s="431" t="s">
        <v>1381</v>
      </c>
      <c r="D369" s="428" t="s">
        <v>1153</v>
      </c>
      <c r="E369" s="433">
        <v>2019</v>
      </c>
      <c r="F369" s="436" t="s">
        <v>767</v>
      </c>
      <c r="G369" s="433" t="s">
        <v>117</v>
      </c>
      <c r="H369" s="528"/>
      <c r="I369" s="50" t="s">
        <v>118</v>
      </c>
      <c r="J369" s="630"/>
      <c r="K369" s="517" t="s">
        <v>118</v>
      </c>
      <c r="L369" s="630"/>
      <c r="M369" s="702" t="s">
        <v>118</v>
      </c>
      <c r="N369" s="589" t="s">
        <v>1594</v>
      </c>
      <c r="O369" s="617"/>
      <c r="P369" s="589"/>
      <c r="Q369" s="50"/>
      <c r="R369" s="50"/>
      <c r="S369" s="50"/>
      <c r="T369" s="50"/>
      <c r="U369" s="50"/>
      <c r="V369" s="50"/>
      <c r="W369" s="50"/>
      <c r="X369" s="50"/>
      <c r="Y369" s="50"/>
      <c r="Z369" s="50"/>
      <c r="AA369" s="82">
        <f>SUM(AB369:AE369)</f>
        <v>4000</v>
      </c>
      <c r="AB369" s="55"/>
      <c r="AC369" s="55"/>
      <c r="AD369" s="55"/>
      <c r="AE369" s="55">
        <v>4000</v>
      </c>
      <c r="AF369" s="82"/>
      <c r="AG369" s="55"/>
      <c r="AH369" s="55"/>
      <c r="AI369" s="55"/>
      <c r="AJ369" s="55"/>
      <c r="AK369" s="82"/>
      <c r="AL369" s="55"/>
      <c r="AM369" s="55"/>
      <c r="AN369" s="55"/>
      <c r="AO369" s="55"/>
      <c r="AP369" s="82"/>
      <c r="AQ369" s="55"/>
      <c r="AR369" s="55"/>
      <c r="AS369" s="55"/>
      <c r="AT369" s="55"/>
      <c r="AU369" s="82"/>
      <c r="AV369" s="55"/>
      <c r="AW369" s="55"/>
      <c r="AX369" s="55"/>
      <c r="AY369" s="55"/>
      <c r="AZ369" s="82"/>
      <c r="BA369" s="55"/>
      <c r="BB369" s="55"/>
      <c r="BC369" s="55"/>
      <c r="BD369" s="55"/>
      <c r="BE369" s="82"/>
      <c r="BF369" s="55"/>
      <c r="BG369" s="55"/>
      <c r="BH369" s="55"/>
      <c r="BI369" s="55"/>
      <c r="BJ369" s="82"/>
      <c r="BK369" s="55"/>
      <c r="BL369" s="55"/>
      <c r="BM369" s="55"/>
      <c r="BN369" s="55"/>
      <c r="BO369" s="82"/>
      <c r="BP369" s="55"/>
      <c r="BQ369" s="55"/>
      <c r="BR369" s="55"/>
      <c r="BS369" s="55"/>
      <c r="BT369" s="82"/>
      <c r="BU369" s="55"/>
      <c r="BV369" s="55"/>
      <c r="BW369" s="55"/>
      <c r="BX369" s="55"/>
      <c r="BY369" s="82"/>
      <c r="BZ369" s="55"/>
      <c r="CA369" s="55"/>
      <c r="CB369" s="55"/>
      <c r="CC369" s="55"/>
      <c r="CD369" s="82"/>
      <c r="CE369" s="55"/>
      <c r="CF369" s="55"/>
      <c r="CG369" s="55"/>
      <c r="CH369" s="55"/>
      <c r="CI369" s="165">
        <f t="shared" si="859"/>
        <v>4000</v>
      </c>
      <c r="CJ369" s="164">
        <f t="shared" si="854"/>
        <v>0</v>
      </c>
      <c r="CK369" s="164">
        <f t="shared" si="855"/>
        <v>0</v>
      </c>
      <c r="CL369" s="164">
        <f t="shared" si="856"/>
        <v>0</v>
      </c>
      <c r="CM369" s="164">
        <f t="shared" si="857"/>
        <v>4000</v>
      </c>
      <c r="CN369" s="181">
        <f t="shared" si="853"/>
        <v>4000</v>
      </c>
      <c r="CO369" s="180">
        <f t="shared" si="853"/>
        <v>0</v>
      </c>
      <c r="CP369" s="180">
        <f t="shared" si="853"/>
        <v>0</v>
      </c>
      <c r="CQ369" s="180">
        <f t="shared" si="853"/>
        <v>0</v>
      </c>
      <c r="CR369" s="180">
        <f t="shared" si="853"/>
        <v>4000</v>
      </c>
      <c r="CS369" s="273">
        <f t="shared" si="858"/>
        <v>0</v>
      </c>
      <c r="CT369" s="14"/>
    </row>
    <row r="370" spans="1:98" s="4" customFormat="1" ht="176.25" customHeight="1" x14ac:dyDescent="0.3">
      <c r="A370" s="195" t="s">
        <v>770</v>
      </c>
      <c r="B370" s="182" t="s">
        <v>771</v>
      </c>
      <c r="C370" s="182" t="s">
        <v>772</v>
      </c>
      <c r="D370" s="148" t="s">
        <v>1157</v>
      </c>
      <c r="E370" s="50">
        <v>2019</v>
      </c>
      <c r="F370" s="74" t="s">
        <v>773</v>
      </c>
      <c r="G370" s="50" t="s">
        <v>117</v>
      </c>
      <c r="H370" s="528"/>
      <c r="I370" s="50" t="s">
        <v>118</v>
      </c>
      <c r="J370" s="630"/>
      <c r="K370" s="517" t="s">
        <v>118</v>
      </c>
      <c r="L370" s="630"/>
      <c r="M370" s="702" t="s">
        <v>1472</v>
      </c>
      <c r="N370" s="589" t="s">
        <v>1595</v>
      </c>
      <c r="O370" s="617"/>
      <c r="P370" s="589"/>
      <c r="Q370" s="50"/>
      <c r="R370" s="50"/>
      <c r="S370" s="50"/>
      <c r="T370" s="50"/>
      <c r="U370" s="50"/>
      <c r="V370" s="50"/>
      <c r="W370" s="50"/>
      <c r="X370" s="50"/>
      <c r="Y370" s="50"/>
      <c r="Z370" s="50"/>
      <c r="AA370" s="82">
        <f t="shared" ref="AA370:AA378" si="860">SUM(AB370:AE370)</f>
        <v>2500</v>
      </c>
      <c r="AB370" s="55"/>
      <c r="AC370" s="55"/>
      <c r="AD370" s="55"/>
      <c r="AE370" s="55">
        <v>2500</v>
      </c>
      <c r="AF370" s="82"/>
      <c r="AG370" s="55"/>
      <c r="AH370" s="55"/>
      <c r="AI370" s="55"/>
      <c r="AJ370" s="55"/>
      <c r="AK370" s="82"/>
      <c r="AL370" s="55"/>
      <c r="AM370" s="55"/>
      <c r="AN370" s="55"/>
      <c r="AO370" s="55"/>
      <c r="AP370" s="82"/>
      <c r="AQ370" s="55"/>
      <c r="AR370" s="55"/>
      <c r="AS370" s="55"/>
      <c r="AT370" s="55"/>
      <c r="AU370" s="82"/>
      <c r="AV370" s="55"/>
      <c r="AW370" s="55"/>
      <c r="AX370" s="55"/>
      <c r="AY370" s="55"/>
      <c r="AZ370" s="82"/>
      <c r="BA370" s="55"/>
      <c r="BB370" s="55"/>
      <c r="BC370" s="55"/>
      <c r="BD370" s="55"/>
      <c r="BE370" s="82"/>
      <c r="BF370" s="55"/>
      <c r="BG370" s="55"/>
      <c r="BH370" s="55"/>
      <c r="BI370" s="55"/>
      <c r="BJ370" s="82"/>
      <c r="BK370" s="55"/>
      <c r="BL370" s="55"/>
      <c r="BM370" s="55"/>
      <c r="BN370" s="55"/>
      <c r="BO370" s="82"/>
      <c r="BP370" s="55"/>
      <c r="BQ370" s="55"/>
      <c r="BR370" s="55"/>
      <c r="BS370" s="55"/>
      <c r="BT370" s="82"/>
      <c r="BU370" s="55"/>
      <c r="BV370" s="55"/>
      <c r="BW370" s="55"/>
      <c r="BX370" s="55"/>
      <c r="BY370" s="82"/>
      <c r="BZ370" s="55"/>
      <c r="CA370" s="55"/>
      <c r="CB370" s="55"/>
      <c r="CC370" s="55"/>
      <c r="CD370" s="82"/>
      <c r="CE370" s="55"/>
      <c r="CF370" s="55"/>
      <c r="CG370" s="55"/>
      <c r="CH370" s="55"/>
      <c r="CI370" s="165">
        <f t="shared" ref="CI370:CI372" si="861">AA370+AF370+AK370</f>
        <v>2500</v>
      </c>
      <c r="CJ370" s="164">
        <f t="shared" ref="CJ370:CJ372" si="862">AB370+AG370+AL370</f>
        <v>0</v>
      </c>
      <c r="CK370" s="164">
        <f t="shared" ref="CK370:CK372" si="863">AC370+AH370+AM370</f>
        <v>0</v>
      </c>
      <c r="CL370" s="164">
        <f t="shared" ref="CL370:CL372" si="864">AD370+AI370+AN370</f>
        <v>0</v>
      </c>
      <c r="CM370" s="164">
        <f t="shared" ref="CM370:CM372" si="865">AE370+AJ370+AO370</f>
        <v>2500</v>
      </c>
      <c r="CN370" s="181">
        <f t="shared" si="853"/>
        <v>2500</v>
      </c>
      <c r="CO370" s="180">
        <f t="shared" si="853"/>
        <v>0</v>
      </c>
      <c r="CP370" s="180">
        <f t="shared" si="853"/>
        <v>0</v>
      </c>
      <c r="CQ370" s="180">
        <f t="shared" si="853"/>
        <v>0</v>
      </c>
      <c r="CR370" s="180">
        <f t="shared" si="853"/>
        <v>2500</v>
      </c>
      <c r="CS370" s="273">
        <f t="shared" si="858"/>
        <v>0</v>
      </c>
      <c r="CT370" s="14"/>
    </row>
    <row r="371" spans="1:98" s="4" customFormat="1" ht="138.75" customHeight="1" x14ac:dyDescent="0.3">
      <c r="A371" s="195" t="s">
        <v>1371</v>
      </c>
      <c r="B371" s="182" t="s">
        <v>1152</v>
      </c>
      <c r="C371" s="243" t="s">
        <v>1446</v>
      </c>
      <c r="D371" s="148" t="s">
        <v>1157</v>
      </c>
      <c r="E371" s="50">
        <v>2019</v>
      </c>
      <c r="F371" s="74" t="s">
        <v>1130</v>
      </c>
      <c r="G371" s="50" t="s">
        <v>31</v>
      </c>
      <c r="H371" s="528"/>
      <c r="I371" s="50">
        <v>2</v>
      </c>
      <c r="J371" s="630"/>
      <c r="K371" s="517">
        <v>2</v>
      </c>
      <c r="L371" s="630"/>
      <c r="M371" s="702">
        <v>70</v>
      </c>
      <c r="N371" s="589" t="s">
        <v>1596</v>
      </c>
      <c r="O371" s="617"/>
      <c r="P371" s="589"/>
      <c r="Q371" s="50"/>
      <c r="R371" s="50"/>
      <c r="S371" s="50"/>
      <c r="T371" s="50"/>
      <c r="U371" s="50"/>
      <c r="V371" s="50"/>
      <c r="W371" s="50"/>
      <c r="X371" s="50"/>
      <c r="Y371" s="50"/>
      <c r="Z371" s="50"/>
      <c r="AA371" s="82">
        <f t="shared" si="860"/>
        <v>40000</v>
      </c>
      <c r="AB371" s="55"/>
      <c r="AC371" s="55"/>
      <c r="AD371" s="55"/>
      <c r="AE371" s="55">
        <v>40000</v>
      </c>
      <c r="AF371" s="82"/>
      <c r="AG371" s="55"/>
      <c r="AH371" s="55"/>
      <c r="AI371" s="55"/>
      <c r="AJ371" s="55"/>
      <c r="AK371" s="82"/>
      <c r="AL371" s="55"/>
      <c r="AM371" s="55"/>
      <c r="AN371" s="55"/>
      <c r="AO371" s="55"/>
      <c r="AP371" s="82"/>
      <c r="AQ371" s="55"/>
      <c r="AR371" s="55"/>
      <c r="AS371" s="55"/>
      <c r="AT371" s="55"/>
      <c r="AU371" s="82"/>
      <c r="AV371" s="55"/>
      <c r="AW371" s="55"/>
      <c r="AX371" s="55"/>
      <c r="AY371" s="55"/>
      <c r="AZ371" s="82"/>
      <c r="BA371" s="55"/>
      <c r="BB371" s="55"/>
      <c r="BC371" s="55"/>
      <c r="BD371" s="55"/>
      <c r="BE371" s="82"/>
      <c r="BF371" s="55"/>
      <c r="BG371" s="55"/>
      <c r="BH371" s="55"/>
      <c r="BI371" s="55"/>
      <c r="BJ371" s="82"/>
      <c r="BK371" s="55"/>
      <c r="BL371" s="55"/>
      <c r="BM371" s="55"/>
      <c r="BN371" s="55"/>
      <c r="BO371" s="82"/>
      <c r="BP371" s="55"/>
      <c r="BQ371" s="55"/>
      <c r="BR371" s="55"/>
      <c r="BS371" s="55"/>
      <c r="BT371" s="82"/>
      <c r="BU371" s="55"/>
      <c r="BV371" s="55"/>
      <c r="BW371" s="55"/>
      <c r="BX371" s="55"/>
      <c r="BY371" s="82"/>
      <c r="BZ371" s="55"/>
      <c r="CA371" s="55"/>
      <c r="CB371" s="55"/>
      <c r="CC371" s="55"/>
      <c r="CD371" s="82"/>
      <c r="CE371" s="55"/>
      <c r="CF371" s="55"/>
      <c r="CG371" s="55"/>
      <c r="CH371" s="55"/>
      <c r="CI371" s="165">
        <f t="shared" si="861"/>
        <v>40000</v>
      </c>
      <c r="CJ371" s="164">
        <f t="shared" si="862"/>
        <v>0</v>
      </c>
      <c r="CK371" s="164">
        <f t="shared" si="863"/>
        <v>0</v>
      </c>
      <c r="CL371" s="164">
        <f t="shared" si="864"/>
        <v>0</v>
      </c>
      <c r="CM371" s="164">
        <f t="shared" si="865"/>
        <v>40000</v>
      </c>
      <c r="CN371" s="181">
        <f t="shared" si="853"/>
        <v>40000</v>
      </c>
      <c r="CO371" s="180">
        <f t="shared" si="853"/>
        <v>0</v>
      </c>
      <c r="CP371" s="180">
        <f t="shared" si="853"/>
        <v>0</v>
      </c>
      <c r="CQ371" s="180">
        <f t="shared" si="853"/>
        <v>0</v>
      </c>
      <c r="CR371" s="180">
        <f t="shared" si="853"/>
        <v>40000</v>
      </c>
      <c r="CS371" s="273">
        <f t="shared" si="858"/>
        <v>0</v>
      </c>
      <c r="CT371" s="14"/>
    </row>
    <row r="372" spans="1:98" s="4" customFormat="1" ht="231.75" customHeight="1" x14ac:dyDescent="0.3">
      <c r="A372" s="758" t="s">
        <v>774</v>
      </c>
      <c r="B372" s="843" t="s">
        <v>1156</v>
      </c>
      <c r="C372" s="866" t="s">
        <v>1382</v>
      </c>
      <c r="D372" s="714" t="s">
        <v>1157</v>
      </c>
      <c r="E372" s="716">
        <v>2019</v>
      </c>
      <c r="F372" s="61" t="s">
        <v>775</v>
      </c>
      <c r="G372" s="50" t="s">
        <v>62</v>
      </c>
      <c r="H372" s="528"/>
      <c r="I372" s="50">
        <v>20</v>
      </c>
      <c r="J372" s="83">
        <v>25</v>
      </c>
      <c r="K372" s="83">
        <v>5</v>
      </c>
      <c r="L372" s="83">
        <v>30</v>
      </c>
      <c r="M372" s="664">
        <v>0</v>
      </c>
      <c r="N372" s="777" t="s">
        <v>1597</v>
      </c>
      <c r="O372" s="777"/>
      <c r="P372" s="583"/>
      <c r="Q372" s="50">
        <v>30</v>
      </c>
      <c r="R372" s="50">
        <v>35</v>
      </c>
      <c r="S372" s="50">
        <v>40</v>
      </c>
      <c r="T372" s="50">
        <v>45</v>
      </c>
      <c r="U372" s="50">
        <v>50</v>
      </c>
      <c r="V372" s="50">
        <v>55</v>
      </c>
      <c r="W372" s="50">
        <v>60</v>
      </c>
      <c r="X372" s="50">
        <v>65</v>
      </c>
      <c r="Y372" s="50">
        <v>70</v>
      </c>
      <c r="Z372" s="50">
        <v>75</v>
      </c>
      <c r="AA372" s="826">
        <f t="shared" si="860"/>
        <v>7500</v>
      </c>
      <c r="AB372" s="763"/>
      <c r="AC372" s="763"/>
      <c r="AD372" s="763"/>
      <c r="AE372" s="763">
        <f>7000+500</f>
        <v>7500</v>
      </c>
      <c r="AF372" s="826"/>
      <c r="AG372" s="763"/>
      <c r="AH372" s="763"/>
      <c r="AI372" s="763"/>
      <c r="AJ372" s="763"/>
      <c r="AK372" s="826"/>
      <c r="AL372" s="763"/>
      <c r="AM372" s="763"/>
      <c r="AN372" s="763"/>
      <c r="AO372" s="763"/>
      <c r="AP372" s="826"/>
      <c r="AQ372" s="763"/>
      <c r="AR372" s="763"/>
      <c r="AS372" s="763"/>
      <c r="AT372" s="763"/>
      <c r="AU372" s="826"/>
      <c r="AV372" s="763"/>
      <c r="AW372" s="763"/>
      <c r="AX372" s="763"/>
      <c r="AY372" s="763"/>
      <c r="AZ372" s="826"/>
      <c r="BA372" s="763"/>
      <c r="BB372" s="763"/>
      <c r="BC372" s="763"/>
      <c r="BD372" s="763"/>
      <c r="BE372" s="826"/>
      <c r="BF372" s="763"/>
      <c r="BG372" s="763"/>
      <c r="BH372" s="763"/>
      <c r="BI372" s="763"/>
      <c r="BJ372" s="826"/>
      <c r="BK372" s="763"/>
      <c r="BL372" s="763"/>
      <c r="BM372" s="763"/>
      <c r="BN372" s="763"/>
      <c r="BO372" s="826"/>
      <c r="BP372" s="763"/>
      <c r="BQ372" s="763"/>
      <c r="BR372" s="763"/>
      <c r="BS372" s="763"/>
      <c r="BT372" s="826"/>
      <c r="BU372" s="763"/>
      <c r="BV372" s="763"/>
      <c r="BW372" s="763"/>
      <c r="BX372" s="763"/>
      <c r="BY372" s="826"/>
      <c r="BZ372" s="763"/>
      <c r="CA372" s="763"/>
      <c r="CB372" s="763"/>
      <c r="CC372" s="763"/>
      <c r="CD372" s="826"/>
      <c r="CE372" s="763"/>
      <c r="CF372" s="763"/>
      <c r="CG372" s="763"/>
      <c r="CH372" s="763"/>
      <c r="CI372" s="767">
        <f t="shared" si="861"/>
        <v>7500</v>
      </c>
      <c r="CJ372" s="765">
        <f t="shared" si="862"/>
        <v>0</v>
      </c>
      <c r="CK372" s="765">
        <f t="shared" si="863"/>
        <v>0</v>
      </c>
      <c r="CL372" s="765">
        <f t="shared" si="864"/>
        <v>0</v>
      </c>
      <c r="CM372" s="765">
        <f t="shared" si="865"/>
        <v>7500</v>
      </c>
      <c r="CN372" s="773">
        <f t="shared" si="853"/>
        <v>7500</v>
      </c>
      <c r="CO372" s="791">
        <f t="shared" si="853"/>
        <v>0</v>
      </c>
      <c r="CP372" s="791">
        <f t="shared" si="853"/>
        <v>0</v>
      </c>
      <c r="CQ372" s="791">
        <f t="shared" si="853"/>
        <v>0</v>
      </c>
      <c r="CR372" s="791">
        <f t="shared" si="853"/>
        <v>7500</v>
      </c>
      <c r="CS372" s="775">
        <f>CN372-CO372-CP372-CQ372-CR372</f>
        <v>0</v>
      </c>
      <c r="CT372" s="14"/>
    </row>
    <row r="373" spans="1:98" s="4" customFormat="1" ht="201" customHeight="1" x14ac:dyDescent="0.3">
      <c r="A373" s="758"/>
      <c r="B373" s="843"/>
      <c r="C373" s="866"/>
      <c r="D373" s="715"/>
      <c r="E373" s="717"/>
      <c r="F373" s="61" t="s">
        <v>776</v>
      </c>
      <c r="G373" s="50" t="s">
        <v>62</v>
      </c>
      <c r="H373" s="528"/>
      <c r="I373" s="50">
        <v>15</v>
      </c>
      <c r="J373" s="630">
        <f>J372/4*3</f>
        <v>18.75</v>
      </c>
      <c r="K373" s="83">
        <v>0</v>
      </c>
      <c r="L373" s="630">
        <f>L372/4*3</f>
        <v>22.5</v>
      </c>
      <c r="M373" s="664">
        <v>0</v>
      </c>
      <c r="N373" s="778"/>
      <c r="O373" s="778"/>
      <c r="P373" s="584"/>
      <c r="Q373" s="50">
        <f t="shared" ref="Q373:Y373" si="866">Q372/4*3</f>
        <v>22.5</v>
      </c>
      <c r="R373" s="50">
        <f t="shared" si="866"/>
        <v>26.25</v>
      </c>
      <c r="S373" s="50">
        <f t="shared" si="866"/>
        <v>30</v>
      </c>
      <c r="T373" s="50">
        <f t="shared" si="866"/>
        <v>33.75</v>
      </c>
      <c r="U373" s="50">
        <f t="shared" si="866"/>
        <v>37.5</v>
      </c>
      <c r="V373" s="50">
        <f t="shared" si="866"/>
        <v>41.25</v>
      </c>
      <c r="W373" s="50">
        <f t="shared" si="866"/>
        <v>45</v>
      </c>
      <c r="X373" s="50">
        <f t="shared" si="866"/>
        <v>48.75</v>
      </c>
      <c r="Y373" s="50">
        <f t="shared" si="866"/>
        <v>52.5</v>
      </c>
      <c r="Z373" s="50">
        <f>Z372/4*3</f>
        <v>56.25</v>
      </c>
      <c r="AA373" s="827"/>
      <c r="AB373" s="764"/>
      <c r="AC373" s="764"/>
      <c r="AD373" s="764"/>
      <c r="AE373" s="764"/>
      <c r="AF373" s="827"/>
      <c r="AG373" s="764"/>
      <c r="AH373" s="764"/>
      <c r="AI373" s="764"/>
      <c r="AJ373" s="764"/>
      <c r="AK373" s="827"/>
      <c r="AL373" s="764"/>
      <c r="AM373" s="764"/>
      <c r="AN373" s="764"/>
      <c r="AO373" s="764"/>
      <c r="AP373" s="827"/>
      <c r="AQ373" s="764"/>
      <c r="AR373" s="764"/>
      <c r="AS373" s="764"/>
      <c r="AT373" s="764"/>
      <c r="AU373" s="827"/>
      <c r="AV373" s="764"/>
      <c r="AW373" s="764"/>
      <c r="AX373" s="764"/>
      <c r="AY373" s="764"/>
      <c r="AZ373" s="827"/>
      <c r="BA373" s="764"/>
      <c r="BB373" s="764"/>
      <c r="BC373" s="764"/>
      <c r="BD373" s="764"/>
      <c r="BE373" s="827"/>
      <c r="BF373" s="764"/>
      <c r="BG373" s="764"/>
      <c r="BH373" s="764"/>
      <c r="BI373" s="764"/>
      <c r="BJ373" s="827"/>
      <c r="BK373" s="764"/>
      <c r="BL373" s="764"/>
      <c r="BM373" s="764"/>
      <c r="BN373" s="764"/>
      <c r="BO373" s="827"/>
      <c r="BP373" s="764"/>
      <c r="BQ373" s="764"/>
      <c r="BR373" s="764"/>
      <c r="BS373" s="764"/>
      <c r="BT373" s="827"/>
      <c r="BU373" s="764"/>
      <c r="BV373" s="764"/>
      <c r="BW373" s="764"/>
      <c r="BX373" s="764"/>
      <c r="BY373" s="827"/>
      <c r="BZ373" s="764"/>
      <c r="CA373" s="764"/>
      <c r="CB373" s="764"/>
      <c r="CC373" s="764"/>
      <c r="CD373" s="827"/>
      <c r="CE373" s="764"/>
      <c r="CF373" s="764"/>
      <c r="CG373" s="764"/>
      <c r="CH373" s="764"/>
      <c r="CI373" s="768"/>
      <c r="CJ373" s="766"/>
      <c r="CK373" s="766"/>
      <c r="CL373" s="766"/>
      <c r="CM373" s="766"/>
      <c r="CN373" s="774"/>
      <c r="CO373" s="792"/>
      <c r="CP373" s="792"/>
      <c r="CQ373" s="792"/>
      <c r="CR373" s="792"/>
      <c r="CS373" s="776"/>
      <c r="CT373" s="14"/>
    </row>
    <row r="374" spans="1:98" s="4" customFormat="1" ht="165" customHeight="1" x14ac:dyDescent="0.3">
      <c r="A374" s="195" t="s">
        <v>777</v>
      </c>
      <c r="B374" s="182" t="s">
        <v>1185</v>
      </c>
      <c r="C374" s="182" t="s">
        <v>1191</v>
      </c>
      <c r="D374" s="160" t="s">
        <v>1187</v>
      </c>
      <c r="E374" s="50" t="s">
        <v>152</v>
      </c>
      <c r="F374" s="74" t="s">
        <v>779</v>
      </c>
      <c r="G374" s="50" t="s">
        <v>117</v>
      </c>
      <c r="H374" s="528"/>
      <c r="I374" s="99"/>
      <c r="J374" s="630"/>
      <c r="K374" s="517" t="s">
        <v>140</v>
      </c>
      <c r="L374" s="630" t="s">
        <v>118</v>
      </c>
      <c r="M374" s="702" t="s">
        <v>118</v>
      </c>
      <c r="N374" s="598" t="s">
        <v>1598</v>
      </c>
      <c r="O374" s="617" t="s">
        <v>1632</v>
      </c>
      <c r="P374" s="557"/>
      <c r="Q374" s="50" t="s">
        <v>118</v>
      </c>
      <c r="R374" s="50"/>
      <c r="S374" s="50"/>
      <c r="T374" s="50"/>
      <c r="U374" s="50"/>
      <c r="V374" s="50"/>
      <c r="W374" s="50"/>
      <c r="X374" s="50"/>
      <c r="Y374" s="50"/>
      <c r="Z374" s="50"/>
      <c r="AA374" s="82">
        <f t="shared" si="860"/>
        <v>550</v>
      </c>
      <c r="AB374" s="55"/>
      <c r="AC374" s="55"/>
      <c r="AD374" s="55"/>
      <c r="AE374" s="55">
        <v>550</v>
      </c>
      <c r="AF374" s="82"/>
      <c r="AG374" s="55"/>
      <c r="AH374" s="55"/>
      <c r="AI374" s="55"/>
      <c r="AJ374" s="55"/>
      <c r="AK374" s="82"/>
      <c r="AL374" s="55"/>
      <c r="AM374" s="55"/>
      <c r="AN374" s="55"/>
      <c r="AO374" s="55"/>
      <c r="AP374" s="82"/>
      <c r="AQ374" s="55"/>
      <c r="AR374" s="55"/>
      <c r="AS374" s="55"/>
      <c r="AT374" s="55"/>
      <c r="AU374" s="82"/>
      <c r="AV374" s="55"/>
      <c r="AW374" s="55"/>
      <c r="AX374" s="55"/>
      <c r="AY374" s="55"/>
      <c r="AZ374" s="82"/>
      <c r="BA374" s="55"/>
      <c r="BB374" s="55"/>
      <c r="BC374" s="55"/>
      <c r="BD374" s="55"/>
      <c r="BE374" s="82"/>
      <c r="BF374" s="55"/>
      <c r="BG374" s="55"/>
      <c r="BH374" s="55"/>
      <c r="BI374" s="55"/>
      <c r="BJ374" s="82"/>
      <c r="BK374" s="55"/>
      <c r="BL374" s="55"/>
      <c r="BM374" s="55"/>
      <c r="BN374" s="55"/>
      <c r="BO374" s="82"/>
      <c r="BP374" s="55"/>
      <c r="BQ374" s="55"/>
      <c r="BR374" s="55"/>
      <c r="BS374" s="55"/>
      <c r="BT374" s="82"/>
      <c r="BU374" s="55"/>
      <c r="BV374" s="55"/>
      <c r="BW374" s="55"/>
      <c r="BX374" s="55"/>
      <c r="BY374" s="82"/>
      <c r="BZ374" s="55"/>
      <c r="CA374" s="55"/>
      <c r="CB374" s="55"/>
      <c r="CC374" s="55"/>
      <c r="CD374" s="82"/>
      <c r="CE374" s="55"/>
      <c r="CF374" s="55"/>
      <c r="CG374" s="55"/>
      <c r="CH374" s="55"/>
      <c r="CI374" s="165">
        <f t="shared" ref="CI374:CI378" si="867">AA374+AF374+AK374</f>
        <v>550</v>
      </c>
      <c r="CJ374" s="164">
        <f t="shared" ref="CJ374:CJ381" si="868">AB374+AG374+AL374</f>
        <v>0</v>
      </c>
      <c r="CK374" s="164">
        <f t="shared" ref="CK374:CK381" si="869">AC374+AH374+AM374</f>
        <v>0</v>
      </c>
      <c r="CL374" s="164">
        <f t="shared" ref="CL374:CL381" si="870">AD374+AI374+AN374</f>
        <v>0</v>
      </c>
      <c r="CM374" s="164">
        <f t="shared" ref="CM374:CM381" si="871">AE374+AJ374+AO374</f>
        <v>550</v>
      </c>
      <c r="CN374" s="181">
        <f t="shared" ref="CN374:CN400" si="872">AA374+AF374+AK374+AP374+AU374+AZ374+BE374+BJ374+BO374+BT374+BY374+CD374</f>
        <v>550</v>
      </c>
      <c r="CO374" s="180">
        <f t="shared" ref="CO374:CO400" si="873">AB374+AG374+AL374+AQ374+AV374+BA374+BF374+BK374+BP374+BU374+BZ374+CE374</f>
        <v>0</v>
      </c>
      <c r="CP374" s="180">
        <f t="shared" ref="CP374:CP400" si="874">AC374+AH374+AM374+AR374+AW374+BB374+BG374+BL374+BQ374+BV374+CA374+CF374</f>
        <v>0</v>
      </c>
      <c r="CQ374" s="180">
        <f t="shared" ref="CQ374:CQ400" si="875">AD374+AI374+AN374+AS374+AX374+BC374+BH374+BM374+BR374+BW374+CB374+CG374</f>
        <v>0</v>
      </c>
      <c r="CR374" s="180">
        <f t="shared" ref="CR374:CR400" si="876">AE374+AJ374+AO374+AT374+AY374+BD374+BI374+BN374+BS374+BX374+CC374+CH374</f>
        <v>550</v>
      </c>
      <c r="CS374" s="273">
        <f>CN374-CO374-CP374-CQ374-CR374</f>
        <v>0</v>
      </c>
      <c r="CT374" s="14"/>
    </row>
    <row r="375" spans="1:98" s="4" customFormat="1" ht="409.5" x14ac:dyDescent="0.3">
      <c r="A375" s="347" t="s">
        <v>778</v>
      </c>
      <c r="B375" s="333" t="s">
        <v>1186</v>
      </c>
      <c r="C375" s="333" t="s">
        <v>1232</v>
      </c>
      <c r="D375" s="331" t="s">
        <v>1162</v>
      </c>
      <c r="E375" s="346" t="s">
        <v>1188</v>
      </c>
      <c r="F375" s="74" t="s">
        <v>1190</v>
      </c>
      <c r="G375" s="350" t="s">
        <v>31</v>
      </c>
      <c r="H375" s="528"/>
      <c r="I375" s="99"/>
      <c r="J375" s="630"/>
      <c r="K375" s="517"/>
      <c r="L375" s="126">
        <v>1200</v>
      </c>
      <c r="M375" s="665">
        <v>1273</v>
      </c>
      <c r="N375" s="599"/>
      <c r="O375" s="523" t="s">
        <v>1633</v>
      </c>
      <c r="P375" s="518"/>
      <c r="Q375" s="350">
        <v>1200</v>
      </c>
      <c r="R375" s="350">
        <v>1800</v>
      </c>
      <c r="S375" s="350">
        <v>2400</v>
      </c>
      <c r="T375" s="350">
        <v>3000</v>
      </c>
      <c r="U375" s="350">
        <v>3600</v>
      </c>
      <c r="V375" s="350">
        <v>4200</v>
      </c>
      <c r="W375" s="350">
        <v>4800</v>
      </c>
      <c r="X375" s="350">
        <v>5400</v>
      </c>
      <c r="Y375" s="350">
        <v>6000</v>
      </c>
      <c r="Z375" s="350">
        <v>6200</v>
      </c>
      <c r="AA375" s="82"/>
      <c r="AB375" s="55"/>
      <c r="AC375" s="55"/>
      <c r="AD375" s="55"/>
      <c r="AE375" s="55"/>
      <c r="AF375" s="82"/>
      <c r="AG375" s="55"/>
      <c r="AH375" s="55"/>
      <c r="AI375" s="55"/>
      <c r="AJ375" s="55"/>
      <c r="AK375" s="82"/>
      <c r="AL375" s="55"/>
      <c r="AM375" s="55"/>
      <c r="AN375" s="55"/>
      <c r="AO375" s="55"/>
      <c r="AP375" s="82"/>
      <c r="AQ375" s="55"/>
      <c r="AR375" s="55"/>
      <c r="AS375" s="55"/>
      <c r="AT375" s="55"/>
      <c r="AU375" s="82"/>
      <c r="AV375" s="55"/>
      <c r="AW375" s="55"/>
      <c r="AX375" s="55"/>
      <c r="AY375" s="55"/>
      <c r="AZ375" s="82"/>
      <c r="BA375" s="55"/>
      <c r="BB375" s="55"/>
      <c r="BC375" s="55"/>
      <c r="BD375" s="55"/>
      <c r="BE375" s="82"/>
      <c r="BF375" s="55"/>
      <c r="BG375" s="55"/>
      <c r="BH375" s="55"/>
      <c r="BI375" s="55"/>
      <c r="BJ375" s="82"/>
      <c r="BK375" s="55"/>
      <c r="BL375" s="55"/>
      <c r="BM375" s="55"/>
      <c r="BN375" s="55"/>
      <c r="BO375" s="82"/>
      <c r="BP375" s="55"/>
      <c r="BQ375" s="55"/>
      <c r="BR375" s="55"/>
      <c r="BS375" s="55"/>
      <c r="BT375" s="82"/>
      <c r="BU375" s="55"/>
      <c r="BV375" s="55"/>
      <c r="BW375" s="55"/>
      <c r="BX375" s="55"/>
      <c r="BY375" s="82"/>
      <c r="BZ375" s="55"/>
      <c r="CA375" s="55"/>
      <c r="CB375" s="55"/>
      <c r="CC375" s="55"/>
      <c r="CD375" s="82"/>
      <c r="CE375" s="55"/>
      <c r="CF375" s="55"/>
      <c r="CG375" s="55"/>
      <c r="CH375" s="55"/>
      <c r="CI375" s="342">
        <f t="shared" ref="CI375" si="877">AA375+AF375+AK375</f>
        <v>0</v>
      </c>
      <c r="CJ375" s="341">
        <f t="shared" ref="CJ375" si="878">AB375+AG375+AL375</f>
        <v>0</v>
      </c>
      <c r="CK375" s="341">
        <f t="shared" ref="CK375" si="879">AC375+AH375+AM375</f>
        <v>0</v>
      </c>
      <c r="CL375" s="341">
        <f t="shared" ref="CL375" si="880">AD375+AI375+AN375</f>
        <v>0</v>
      </c>
      <c r="CM375" s="341">
        <f t="shared" ref="CM375" si="881">AE375+AJ375+AO375</f>
        <v>0</v>
      </c>
      <c r="CN375" s="352">
        <f t="shared" si="872"/>
        <v>0</v>
      </c>
      <c r="CO375" s="351">
        <f t="shared" si="873"/>
        <v>0</v>
      </c>
      <c r="CP375" s="351">
        <f t="shared" si="874"/>
        <v>0</v>
      </c>
      <c r="CQ375" s="351">
        <f t="shared" si="875"/>
        <v>0</v>
      </c>
      <c r="CR375" s="351">
        <f t="shared" si="876"/>
        <v>0</v>
      </c>
      <c r="CS375" s="352">
        <f>CN375-CO375-CP375-CQ375-CR375</f>
        <v>0</v>
      </c>
      <c r="CT375" s="14"/>
    </row>
    <row r="376" spans="1:98" s="4" customFormat="1" ht="114.75" customHeight="1" x14ac:dyDescent="0.3">
      <c r="A376" s="844" t="s">
        <v>1110</v>
      </c>
      <c r="B376" s="777" t="s">
        <v>1154</v>
      </c>
      <c r="C376" s="817" t="s">
        <v>1445</v>
      </c>
      <c r="D376" s="714" t="s">
        <v>1157</v>
      </c>
      <c r="E376" s="716" t="s">
        <v>152</v>
      </c>
      <c r="F376" s="421" t="s">
        <v>1241</v>
      </c>
      <c r="G376" s="416" t="s">
        <v>117</v>
      </c>
      <c r="H376" s="528"/>
      <c r="I376" s="416" t="s">
        <v>118</v>
      </c>
      <c r="J376" s="630"/>
      <c r="K376" s="517"/>
      <c r="L376" s="630"/>
      <c r="M376" s="702" t="s">
        <v>1472</v>
      </c>
      <c r="N376" s="777" t="s">
        <v>1599</v>
      </c>
      <c r="O376" s="777"/>
      <c r="P376" s="583"/>
      <c r="Q376" s="416"/>
      <c r="R376" s="416"/>
      <c r="S376" s="416"/>
      <c r="T376" s="416"/>
      <c r="U376" s="416"/>
      <c r="V376" s="416"/>
      <c r="W376" s="416"/>
      <c r="X376" s="416"/>
      <c r="Y376" s="416"/>
      <c r="Z376" s="416"/>
      <c r="AA376" s="82">
        <f t="shared" si="860"/>
        <v>1000</v>
      </c>
      <c r="AB376" s="55"/>
      <c r="AC376" s="55"/>
      <c r="AD376" s="55"/>
      <c r="AE376" s="55">
        <v>1000</v>
      </c>
      <c r="AF376" s="82"/>
      <c r="AG376" s="55"/>
      <c r="AH376" s="55"/>
      <c r="AI376" s="55"/>
      <c r="AJ376" s="55"/>
      <c r="AK376" s="82"/>
      <c r="AL376" s="55"/>
      <c r="AM376" s="55"/>
      <c r="AN376" s="55"/>
      <c r="AO376" s="55"/>
      <c r="AP376" s="82"/>
      <c r="AQ376" s="55"/>
      <c r="AR376" s="55"/>
      <c r="AS376" s="55"/>
      <c r="AT376" s="55"/>
      <c r="AU376" s="82"/>
      <c r="AV376" s="55"/>
      <c r="AW376" s="55"/>
      <c r="AX376" s="55"/>
      <c r="AY376" s="55"/>
      <c r="AZ376" s="82"/>
      <c r="BA376" s="55"/>
      <c r="BB376" s="55"/>
      <c r="BC376" s="55"/>
      <c r="BD376" s="55"/>
      <c r="BE376" s="82"/>
      <c r="BF376" s="55"/>
      <c r="BG376" s="55"/>
      <c r="BH376" s="55"/>
      <c r="BI376" s="55"/>
      <c r="BJ376" s="82"/>
      <c r="BK376" s="55"/>
      <c r="BL376" s="55"/>
      <c r="BM376" s="55"/>
      <c r="BN376" s="55"/>
      <c r="BO376" s="82"/>
      <c r="BP376" s="55"/>
      <c r="BQ376" s="55"/>
      <c r="BR376" s="55"/>
      <c r="BS376" s="55"/>
      <c r="BT376" s="82"/>
      <c r="BU376" s="55"/>
      <c r="BV376" s="55"/>
      <c r="BW376" s="55"/>
      <c r="BX376" s="55"/>
      <c r="BY376" s="82"/>
      <c r="BZ376" s="55"/>
      <c r="CA376" s="55"/>
      <c r="CB376" s="55"/>
      <c r="CC376" s="55"/>
      <c r="CD376" s="82"/>
      <c r="CE376" s="55"/>
      <c r="CF376" s="55"/>
      <c r="CG376" s="55"/>
      <c r="CH376" s="55"/>
      <c r="CI376" s="420">
        <f t="shared" si="867"/>
        <v>1000</v>
      </c>
      <c r="CJ376" s="401">
        <f t="shared" si="868"/>
        <v>0</v>
      </c>
      <c r="CK376" s="401">
        <f t="shared" si="869"/>
        <v>0</v>
      </c>
      <c r="CL376" s="401">
        <f t="shared" si="870"/>
        <v>0</v>
      </c>
      <c r="CM376" s="401">
        <f t="shared" si="871"/>
        <v>1000</v>
      </c>
      <c r="CN376" s="410">
        <f t="shared" si="872"/>
        <v>1000</v>
      </c>
      <c r="CO376" s="419">
        <f t="shared" si="873"/>
        <v>0</v>
      </c>
      <c r="CP376" s="419">
        <f t="shared" si="874"/>
        <v>0</v>
      </c>
      <c r="CQ376" s="419">
        <f t="shared" si="875"/>
        <v>0</v>
      </c>
      <c r="CR376" s="419">
        <f t="shared" si="876"/>
        <v>1000</v>
      </c>
      <c r="CS376" s="410">
        <f t="shared" ref="CS376:CS399" si="882">CN376-CO376-CP376-CQ376-CR376</f>
        <v>0</v>
      </c>
      <c r="CT376" s="14"/>
    </row>
    <row r="377" spans="1:98" s="4" customFormat="1" ht="48" x14ac:dyDescent="0.3">
      <c r="A377" s="845"/>
      <c r="B377" s="778"/>
      <c r="C377" s="818"/>
      <c r="D377" s="715"/>
      <c r="E377" s="717"/>
      <c r="F377" s="421" t="s">
        <v>780</v>
      </c>
      <c r="G377" s="416" t="s">
        <v>117</v>
      </c>
      <c r="H377" s="528"/>
      <c r="I377" s="416" t="s">
        <v>118</v>
      </c>
      <c r="J377" s="630"/>
      <c r="K377" s="517"/>
      <c r="L377" s="630"/>
      <c r="M377" s="702" t="s">
        <v>1472</v>
      </c>
      <c r="N377" s="778"/>
      <c r="O377" s="778"/>
      <c r="P377" s="584"/>
      <c r="Q377" s="416"/>
      <c r="R377" s="416"/>
      <c r="S377" s="416"/>
      <c r="T377" s="416"/>
      <c r="U377" s="416"/>
      <c r="V377" s="416"/>
      <c r="W377" s="416"/>
      <c r="X377" s="416"/>
      <c r="Y377" s="416"/>
      <c r="Z377" s="416"/>
      <c r="AA377" s="82">
        <f t="shared" si="860"/>
        <v>0</v>
      </c>
      <c r="AB377" s="55"/>
      <c r="AC377" s="55"/>
      <c r="AD377" s="55"/>
      <c r="AE377" s="82"/>
      <c r="AF377" s="82">
        <f>SUM(AG377:AJ377)</f>
        <v>0</v>
      </c>
      <c r="AG377" s="55"/>
      <c r="AH377" s="55"/>
      <c r="AI377" s="55"/>
      <c r="AJ377" s="55"/>
      <c r="AK377" s="82">
        <f t="shared" ref="AK377" si="883">SUM(AL377:AO377)</f>
        <v>0</v>
      </c>
      <c r="AL377" s="55"/>
      <c r="AM377" s="55"/>
      <c r="AN377" s="55"/>
      <c r="AO377" s="55"/>
      <c r="AP377" s="82">
        <f t="shared" ref="AP377" si="884">SUM(AQ377:AT377)</f>
        <v>0</v>
      </c>
      <c r="AQ377" s="55"/>
      <c r="AR377" s="55"/>
      <c r="AS377" s="55"/>
      <c r="AT377" s="55"/>
      <c r="AU377" s="82">
        <f t="shared" ref="AU377" si="885">SUM(AV377:AY377)</f>
        <v>0</v>
      </c>
      <c r="AV377" s="55"/>
      <c r="AW377" s="55"/>
      <c r="AX377" s="55"/>
      <c r="AY377" s="55"/>
      <c r="AZ377" s="82">
        <f t="shared" ref="AZ377" si="886">SUM(BA377:BD377)</f>
        <v>0</v>
      </c>
      <c r="BA377" s="55"/>
      <c r="BB377" s="55"/>
      <c r="BC377" s="55"/>
      <c r="BD377" s="55"/>
      <c r="BE377" s="82">
        <f t="shared" ref="BE377" si="887">SUM(BF377:BI377)</f>
        <v>0</v>
      </c>
      <c r="BF377" s="55"/>
      <c r="BG377" s="55"/>
      <c r="BH377" s="55"/>
      <c r="BI377" s="55"/>
      <c r="BJ377" s="82">
        <f t="shared" ref="BJ377" si="888">SUM(BK377:BN377)</f>
        <v>0</v>
      </c>
      <c r="BK377" s="55"/>
      <c r="BL377" s="55"/>
      <c r="BM377" s="55"/>
      <c r="BN377" s="55"/>
      <c r="BO377" s="82">
        <f t="shared" ref="BO377" si="889">SUM(BP377:BS377)</f>
        <v>0</v>
      </c>
      <c r="BP377" s="55"/>
      <c r="BQ377" s="55"/>
      <c r="BR377" s="55"/>
      <c r="BS377" s="55"/>
      <c r="BT377" s="82">
        <f t="shared" ref="BT377" si="890">SUM(BU377:BX377)</f>
        <v>0</v>
      </c>
      <c r="BU377" s="55"/>
      <c r="BV377" s="55"/>
      <c r="BW377" s="55"/>
      <c r="BX377" s="55"/>
      <c r="BY377" s="82">
        <f t="shared" ref="BY377" si="891">SUM(BZ377:CC377)</f>
        <v>0</v>
      </c>
      <c r="BZ377" s="55"/>
      <c r="CA377" s="55"/>
      <c r="CB377" s="55"/>
      <c r="CC377" s="55"/>
      <c r="CD377" s="82">
        <f t="shared" ref="CD377" si="892">SUM(CE377:CH377)</f>
        <v>0</v>
      </c>
      <c r="CE377" s="55"/>
      <c r="CF377" s="55"/>
      <c r="CG377" s="55"/>
      <c r="CH377" s="55"/>
      <c r="CI377" s="420">
        <f t="shared" si="867"/>
        <v>0</v>
      </c>
      <c r="CJ377" s="401">
        <f t="shared" si="868"/>
        <v>0</v>
      </c>
      <c r="CK377" s="401">
        <f t="shared" si="869"/>
        <v>0</v>
      </c>
      <c r="CL377" s="401">
        <f t="shared" si="870"/>
        <v>0</v>
      </c>
      <c r="CM377" s="401">
        <f t="shared" si="871"/>
        <v>0</v>
      </c>
      <c r="CN377" s="410">
        <f t="shared" si="872"/>
        <v>0</v>
      </c>
      <c r="CO377" s="419">
        <f t="shared" si="873"/>
        <v>0</v>
      </c>
      <c r="CP377" s="419">
        <f t="shared" si="874"/>
        <v>0</v>
      </c>
      <c r="CQ377" s="419">
        <f t="shared" si="875"/>
        <v>0</v>
      </c>
      <c r="CR377" s="419">
        <f t="shared" si="876"/>
        <v>0</v>
      </c>
      <c r="CS377" s="410">
        <f t="shared" si="882"/>
        <v>0</v>
      </c>
      <c r="CT377" s="14"/>
    </row>
    <row r="378" spans="1:98" s="4" customFormat="1" ht="216" x14ac:dyDescent="0.3">
      <c r="A378" s="475" t="s">
        <v>1111</v>
      </c>
      <c r="B378" s="498" t="s">
        <v>1155</v>
      </c>
      <c r="C378" s="498" t="s">
        <v>1383</v>
      </c>
      <c r="D378" s="476" t="s">
        <v>1160</v>
      </c>
      <c r="E378" s="502" t="s">
        <v>52</v>
      </c>
      <c r="F378" s="500" t="s">
        <v>953</v>
      </c>
      <c r="G378" s="477" t="s">
        <v>31</v>
      </c>
      <c r="H378" s="528"/>
      <c r="I378" s="477">
        <v>2</v>
      </c>
      <c r="J378" s="639">
        <v>4</v>
      </c>
      <c r="K378" s="477">
        <v>1</v>
      </c>
      <c r="L378" s="639">
        <v>6</v>
      </c>
      <c r="M378" s="702">
        <v>3</v>
      </c>
      <c r="N378" s="589" t="s">
        <v>1600</v>
      </c>
      <c r="O378" s="617"/>
      <c r="P378" s="589"/>
      <c r="Q378" s="477">
        <v>6</v>
      </c>
      <c r="R378" s="502">
        <v>8</v>
      </c>
      <c r="S378" s="477">
        <v>10</v>
      </c>
      <c r="T378" s="502">
        <v>12</v>
      </c>
      <c r="U378" s="477">
        <v>14</v>
      </c>
      <c r="V378" s="502">
        <v>16</v>
      </c>
      <c r="W378" s="477">
        <v>18</v>
      </c>
      <c r="X378" s="502">
        <v>20</v>
      </c>
      <c r="Y378" s="477">
        <v>22</v>
      </c>
      <c r="Z378" s="502">
        <v>24</v>
      </c>
      <c r="AA378" s="82">
        <f t="shared" si="860"/>
        <v>1500</v>
      </c>
      <c r="AB378" s="55"/>
      <c r="AC378" s="55"/>
      <c r="AD378" s="55"/>
      <c r="AE378" s="55">
        <v>1500</v>
      </c>
      <c r="AF378" s="82"/>
      <c r="AG378" s="55"/>
      <c r="AH378" s="55"/>
      <c r="AI378" s="55"/>
      <c r="AJ378" s="55"/>
      <c r="AK378" s="82"/>
      <c r="AL378" s="55"/>
      <c r="AM378" s="55"/>
      <c r="AN378" s="55"/>
      <c r="AO378" s="55"/>
      <c r="AP378" s="82"/>
      <c r="AQ378" s="55"/>
      <c r="AR378" s="55"/>
      <c r="AS378" s="55"/>
      <c r="AT378" s="55"/>
      <c r="AU378" s="82"/>
      <c r="AV378" s="55"/>
      <c r="AW378" s="55"/>
      <c r="AX378" s="55"/>
      <c r="AY378" s="55"/>
      <c r="AZ378" s="82"/>
      <c r="BA378" s="55"/>
      <c r="BB378" s="55"/>
      <c r="BC378" s="55"/>
      <c r="BD378" s="55"/>
      <c r="BE378" s="82"/>
      <c r="BF378" s="55"/>
      <c r="BG378" s="55"/>
      <c r="BH378" s="55"/>
      <c r="BI378" s="55"/>
      <c r="BJ378" s="82"/>
      <c r="BK378" s="55"/>
      <c r="BL378" s="55"/>
      <c r="BM378" s="55"/>
      <c r="BN378" s="55"/>
      <c r="BO378" s="82"/>
      <c r="BP378" s="55"/>
      <c r="BQ378" s="55"/>
      <c r="BR378" s="55"/>
      <c r="BS378" s="55"/>
      <c r="BT378" s="82"/>
      <c r="BU378" s="55"/>
      <c r="BV378" s="55"/>
      <c r="BW378" s="55"/>
      <c r="BX378" s="55"/>
      <c r="BY378" s="82"/>
      <c r="BZ378" s="55"/>
      <c r="CA378" s="55"/>
      <c r="CB378" s="55"/>
      <c r="CC378" s="55"/>
      <c r="CD378" s="82"/>
      <c r="CE378" s="55"/>
      <c r="CF378" s="55"/>
      <c r="CG378" s="55"/>
      <c r="CH378" s="55"/>
      <c r="CI378" s="494">
        <f t="shared" si="867"/>
        <v>1500</v>
      </c>
      <c r="CJ378" s="491">
        <f t="shared" si="868"/>
        <v>0</v>
      </c>
      <c r="CK378" s="491">
        <f t="shared" si="869"/>
        <v>0</v>
      </c>
      <c r="CL378" s="491">
        <f t="shared" si="870"/>
        <v>0</v>
      </c>
      <c r="CM378" s="491">
        <f t="shared" si="871"/>
        <v>1500</v>
      </c>
      <c r="CN378" s="501">
        <f t="shared" si="872"/>
        <v>1500</v>
      </c>
      <c r="CO378" s="492">
        <f t="shared" si="873"/>
        <v>0</v>
      </c>
      <c r="CP378" s="492">
        <f t="shared" si="874"/>
        <v>0</v>
      </c>
      <c r="CQ378" s="492">
        <f t="shared" si="875"/>
        <v>0</v>
      </c>
      <c r="CR378" s="492">
        <f t="shared" si="876"/>
        <v>1500</v>
      </c>
      <c r="CS378" s="501">
        <f t="shared" si="882"/>
        <v>0</v>
      </c>
      <c r="CT378" s="14"/>
    </row>
    <row r="379" spans="1:98" s="213" customFormat="1" ht="120" x14ac:dyDescent="0.25">
      <c r="A379" s="53" t="s">
        <v>1372</v>
      </c>
      <c r="B379" s="506" t="s">
        <v>933</v>
      </c>
      <c r="C379" s="506" t="s">
        <v>1384</v>
      </c>
      <c r="D379" s="476" t="s">
        <v>1159</v>
      </c>
      <c r="E379" s="502" t="s">
        <v>52</v>
      </c>
      <c r="F379" s="479" t="s">
        <v>934</v>
      </c>
      <c r="G379" s="503" t="s">
        <v>62</v>
      </c>
      <c r="H379" s="533" t="s">
        <v>140</v>
      </c>
      <c r="I379" s="503">
        <v>2.5</v>
      </c>
      <c r="J379" s="637">
        <v>2.5</v>
      </c>
      <c r="K379" s="503" t="s">
        <v>140</v>
      </c>
      <c r="L379" s="637">
        <v>2.5</v>
      </c>
      <c r="M379" s="642">
        <f>1200/183299*100</f>
        <v>0.65466805601776334</v>
      </c>
      <c r="N379" s="611" t="s">
        <v>1601</v>
      </c>
      <c r="O379" s="440" t="s">
        <v>1699</v>
      </c>
      <c r="P379" s="542"/>
      <c r="Q379" s="503">
        <v>2.5</v>
      </c>
      <c r="R379" s="503">
        <v>2.5</v>
      </c>
      <c r="S379" s="503">
        <v>2.5</v>
      </c>
      <c r="T379" s="503">
        <v>2.5</v>
      </c>
      <c r="U379" s="503">
        <v>2.5</v>
      </c>
      <c r="V379" s="503">
        <v>2.5</v>
      </c>
      <c r="W379" s="503">
        <v>2.5</v>
      </c>
      <c r="X379" s="503">
        <v>2.5</v>
      </c>
      <c r="Y379" s="503">
        <v>2.5</v>
      </c>
      <c r="Z379" s="503">
        <v>2.5</v>
      </c>
      <c r="AA379" s="82">
        <f>SUM(AB379:AE379)</f>
        <v>1485.6</v>
      </c>
      <c r="AB379" s="492">
        <v>1485.6</v>
      </c>
      <c r="AC379" s="55"/>
      <c r="AD379" s="55"/>
      <c r="AE379" s="55"/>
      <c r="AF379" s="82">
        <f>SUM(AG379:AJ379)</f>
        <v>1485.6</v>
      </c>
      <c r="AG379" s="492">
        <v>1485.6</v>
      </c>
      <c r="AH379" s="55"/>
      <c r="AI379" s="55"/>
      <c r="AJ379" s="55"/>
      <c r="AK379" s="82">
        <f>SUM(AL379:AO379)</f>
        <v>1485.6</v>
      </c>
      <c r="AL379" s="492">
        <v>1485.6</v>
      </c>
      <c r="AM379" s="55"/>
      <c r="AN379" s="55"/>
      <c r="AO379" s="55"/>
      <c r="AP379" s="82">
        <f>SUM(AQ379:AT379)</f>
        <v>1485.6</v>
      </c>
      <c r="AQ379" s="492">
        <v>1485.6</v>
      </c>
      <c r="AR379" s="55"/>
      <c r="AS379" s="55"/>
      <c r="AT379" s="55"/>
      <c r="AU379" s="82">
        <f>SUM(AV379:AY379)</f>
        <v>1485.6</v>
      </c>
      <c r="AV379" s="492">
        <v>1485.6</v>
      </c>
      <c r="AW379" s="55"/>
      <c r="AX379" s="55"/>
      <c r="AY379" s="55"/>
      <c r="AZ379" s="82">
        <f>SUM(BA379:BD379)</f>
        <v>1485.6</v>
      </c>
      <c r="BA379" s="492">
        <v>1485.6</v>
      </c>
      <c r="BB379" s="55"/>
      <c r="BC379" s="55"/>
      <c r="BD379" s="55"/>
      <c r="BE379" s="82">
        <f>SUM(BF379:BI379)</f>
        <v>1485.6</v>
      </c>
      <c r="BF379" s="492">
        <v>1485.6</v>
      </c>
      <c r="BG379" s="55"/>
      <c r="BH379" s="55"/>
      <c r="BI379" s="55"/>
      <c r="BJ379" s="82">
        <f>SUM(BK379:BN379)</f>
        <v>1485.6</v>
      </c>
      <c r="BK379" s="492">
        <v>1485.6</v>
      </c>
      <c r="BL379" s="55"/>
      <c r="BM379" s="55"/>
      <c r="BN379" s="55"/>
      <c r="BO379" s="82">
        <f>SUM(BP379:BS379)</f>
        <v>1485.6</v>
      </c>
      <c r="BP379" s="492">
        <v>1485.6</v>
      </c>
      <c r="BQ379" s="55"/>
      <c r="BR379" s="55"/>
      <c r="BS379" s="55"/>
      <c r="BT379" s="82">
        <f>SUM(BU379:BX379)</f>
        <v>1485.6</v>
      </c>
      <c r="BU379" s="492">
        <v>1485.6</v>
      </c>
      <c r="BV379" s="55"/>
      <c r="BW379" s="55"/>
      <c r="BX379" s="55"/>
      <c r="BY379" s="82">
        <f>SUM(BZ379:CC379)</f>
        <v>1485.6</v>
      </c>
      <c r="BZ379" s="492">
        <v>1485.6</v>
      </c>
      <c r="CA379" s="55"/>
      <c r="CB379" s="55"/>
      <c r="CC379" s="55"/>
      <c r="CD379" s="82">
        <f>SUM(CE379:CH379)</f>
        <v>1485.6</v>
      </c>
      <c r="CE379" s="492">
        <v>1485.6</v>
      </c>
      <c r="CF379" s="55"/>
      <c r="CG379" s="55"/>
      <c r="CH379" s="55"/>
      <c r="CI379" s="494">
        <f t="shared" ref="CI379:CM380" si="893">AA379+AF379+AK379</f>
        <v>4456.7999999999993</v>
      </c>
      <c r="CJ379" s="491">
        <f t="shared" si="893"/>
        <v>4456.7999999999993</v>
      </c>
      <c r="CK379" s="491">
        <f t="shared" si="893"/>
        <v>0</v>
      </c>
      <c r="CL379" s="491">
        <f t="shared" si="893"/>
        <v>0</v>
      </c>
      <c r="CM379" s="491">
        <f t="shared" si="893"/>
        <v>0</v>
      </c>
      <c r="CN379" s="501">
        <f t="shared" si="872"/>
        <v>17827.2</v>
      </c>
      <c r="CO379" s="492">
        <f t="shared" si="873"/>
        <v>17827.2</v>
      </c>
      <c r="CP379" s="492">
        <f t="shared" si="874"/>
        <v>0</v>
      </c>
      <c r="CQ379" s="492">
        <f t="shared" si="875"/>
        <v>0</v>
      </c>
      <c r="CR379" s="492">
        <f t="shared" si="876"/>
        <v>0</v>
      </c>
      <c r="CS379" s="501">
        <f t="shared" si="882"/>
        <v>0</v>
      </c>
      <c r="CT379" s="14"/>
    </row>
    <row r="380" spans="1:98" s="4" customFormat="1" ht="72" x14ac:dyDescent="0.35">
      <c r="A380" s="195" t="s">
        <v>1373</v>
      </c>
      <c r="B380" s="182" t="s">
        <v>159</v>
      </c>
      <c r="C380" s="182" t="s">
        <v>1385</v>
      </c>
      <c r="D380" s="193" t="s">
        <v>1134</v>
      </c>
      <c r="E380" s="43" t="s">
        <v>52</v>
      </c>
      <c r="F380" s="61" t="s">
        <v>153</v>
      </c>
      <c r="G380" s="187" t="s">
        <v>74</v>
      </c>
      <c r="H380" s="528"/>
      <c r="I380" s="100">
        <v>8000</v>
      </c>
      <c r="J380" s="65">
        <v>8000</v>
      </c>
      <c r="K380" s="100">
        <v>10000</v>
      </c>
      <c r="L380" s="65">
        <v>8200</v>
      </c>
      <c r="M380" s="652" t="s">
        <v>140</v>
      </c>
      <c r="N380" s="608"/>
      <c r="O380" s="617" t="s">
        <v>1683</v>
      </c>
      <c r="P380" s="608"/>
      <c r="Q380" s="65">
        <v>8200</v>
      </c>
      <c r="R380" s="65">
        <v>8400</v>
      </c>
      <c r="S380" s="65">
        <v>8600</v>
      </c>
      <c r="T380" s="65">
        <v>8800</v>
      </c>
      <c r="U380" s="65">
        <v>9000</v>
      </c>
      <c r="V380" s="65">
        <v>9200</v>
      </c>
      <c r="W380" s="65">
        <v>9400</v>
      </c>
      <c r="X380" s="65">
        <v>9600</v>
      </c>
      <c r="Y380" s="65">
        <v>9800</v>
      </c>
      <c r="Z380" s="100">
        <v>10000</v>
      </c>
      <c r="AA380" s="181">
        <f>SUM(AB380:AE380)</f>
        <v>30000</v>
      </c>
      <c r="AB380" s="55"/>
      <c r="AC380" s="205"/>
      <c r="AD380" s="205"/>
      <c r="AE380" s="55">
        <v>30000</v>
      </c>
      <c r="AF380" s="165">
        <f>SUM(AG380:AJ380)</f>
        <v>30000</v>
      </c>
      <c r="AG380" s="205"/>
      <c r="AH380" s="205"/>
      <c r="AI380" s="205"/>
      <c r="AJ380" s="55">
        <v>30000</v>
      </c>
      <c r="AK380" s="165">
        <f>SUM(AL380:AO380)</f>
        <v>30000</v>
      </c>
      <c r="AL380" s="205"/>
      <c r="AM380" s="205"/>
      <c r="AN380" s="205"/>
      <c r="AO380" s="55">
        <v>30000</v>
      </c>
      <c r="AP380" s="165">
        <f>SUM(AQ380:AT380)</f>
        <v>0</v>
      </c>
      <c r="AQ380" s="205"/>
      <c r="AR380" s="205"/>
      <c r="AS380" s="205"/>
      <c r="AT380" s="205"/>
      <c r="AU380" s="165">
        <f>SUM(AV380:AY380)</f>
        <v>0</v>
      </c>
      <c r="AV380" s="205"/>
      <c r="AW380" s="205"/>
      <c r="AX380" s="205"/>
      <c r="AY380" s="205"/>
      <c r="AZ380" s="165">
        <f>SUM(BA380:BD380)</f>
        <v>0</v>
      </c>
      <c r="BA380" s="205"/>
      <c r="BB380" s="205"/>
      <c r="BC380" s="205"/>
      <c r="BD380" s="205"/>
      <c r="BE380" s="165">
        <f>SUM(BF380:BI380)</f>
        <v>0</v>
      </c>
      <c r="BF380" s="205"/>
      <c r="BG380" s="205"/>
      <c r="BH380" s="205"/>
      <c r="BI380" s="205"/>
      <c r="BJ380" s="165">
        <f>SUM(BK380:BN380)</f>
        <v>0</v>
      </c>
      <c r="BK380" s="205"/>
      <c r="BL380" s="205"/>
      <c r="BM380" s="205"/>
      <c r="BN380" s="205"/>
      <c r="BO380" s="165">
        <f>SUM(BP380:BS380)</f>
        <v>0</v>
      </c>
      <c r="BP380" s="205"/>
      <c r="BQ380" s="205"/>
      <c r="BR380" s="205"/>
      <c r="BS380" s="205"/>
      <c r="BT380" s="165">
        <f>SUM(BU380:BX380)</f>
        <v>0</v>
      </c>
      <c r="BU380" s="205"/>
      <c r="BV380" s="205"/>
      <c r="BW380" s="205"/>
      <c r="BX380" s="205"/>
      <c r="BY380" s="165">
        <f>SUM(BZ380:CC380)</f>
        <v>0</v>
      </c>
      <c r="BZ380" s="205"/>
      <c r="CA380" s="205"/>
      <c r="CB380" s="205"/>
      <c r="CC380" s="205"/>
      <c r="CD380" s="165">
        <f>SUM(CE380:CH380)</f>
        <v>0</v>
      </c>
      <c r="CE380" s="205"/>
      <c r="CF380" s="205"/>
      <c r="CG380" s="205"/>
      <c r="CH380" s="205"/>
      <c r="CI380" s="181">
        <f t="shared" si="893"/>
        <v>90000</v>
      </c>
      <c r="CJ380" s="180">
        <f t="shared" si="893"/>
        <v>0</v>
      </c>
      <c r="CK380" s="180">
        <f t="shared" si="893"/>
        <v>0</v>
      </c>
      <c r="CL380" s="180">
        <f t="shared" si="893"/>
        <v>0</v>
      </c>
      <c r="CM380" s="180">
        <f t="shared" si="893"/>
        <v>90000</v>
      </c>
      <c r="CN380" s="181">
        <f t="shared" si="872"/>
        <v>90000</v>
      </c>
      <c r="CO380" s="180">
        <f t="shared" si="873"/>
        <v>0</v>
      </c>
      <c r="CP380" s="180">
        <f t="shared" si="874"/>
        <v>0</v>
      </c>
      <c r="CQ380" s="180">
        <f t="shared" si="875"/>
        <v>0</v>
      </c>
      <c r="CR380" s="180">
        <f t="shared" si="876"/>
        <v>90000</v>
      </c>
      <c r="CS380" s="273">
        <f t="shared" si="882"/>
        <v>0</v>
      </c>
      <c r="CT380" s="14"/>
    </row>
    <row r="381" spans="1:98" s="4" customFormat="1" ht="96" x14ac:dyDescent="0.3">
      <c r="A381" s="475" t="s">
        <v>781</v>
      </c>
      <c r="B381" s="498" t="s">
        <v>783</v>
      </c>
      <c r="C381" s="498" t="s">
        <v>1386</v>
      </c>
      <c r="D381" s="476" t="s">
        <v>1134</v>
      </c>
      <c r="E381" s="502" t="s">
        <v>52</v>
      </c>
      <c r="F381" s="481" t="s">
        <v>153</v>
      </c>
      <c r="G381" s="502" t="s">
        <v>74</v>
      </c>
      <c r="H381" s="528"/>
      <c r="I381" s="100">
        <v>20000</v>
      </c>
      <c r="J381" s="100">
        <v>20000</v>
      </c>
      <c r="K381" s="100">
        <v>2185</v>
      </c>
      <c r="L381" s="100">
        <v>21000</v>
      </c>
      <c r="M381" s="652" t="s">
        <v>140</v>
      </c>
      <c r="N381" s="589" t="s">
        <v>1602</v>
      </c>
      <c r="O381" s="617" t="s">
        <v>1684</v>
      </c>
      <c r="P381" s="589"/>
      <c r="Q381" s="100">
        <v>21000</v>
      </c>
      <c r="R381" s="100">
        <v>22000</v>
      </c>
      <c r="S381" s="100">
        <v>23000</v>
      </c>
      <c r="T381" s="100">
        <v>24000</v>
      </c>
      <c r="U381" s="100">
        <v>25000</v>
      </c>
      <c r="V381" s="100">
        <v>26000</v>
      </c>
      <c r="W381" s="100">
        <v>27000</v>
      </c>
      <c r="X381" s="100">
        <v>28000</v>
      </c>
      <c r="Y381" s="100">
        <v>29000</v>
      </c>
      <c r="Z381" s="100">
        <v>30000</v>
      </c>
      <c r="AA381" s="82">
        <f>SUM(AB381:AE381)</f>
        <v>30000</v>
      </c>
      <c r="AB381" s="55"/>
      <c r="AC381" s="55"/>
      <c r="AD381" s="55"/>
      <c r="AE381" s="55">
        <v>30000</v>
      </c>
      <c r="AF381" s="82">
        <f>SUM(AG381:AJ381)</f>
        <v>30000</v>
      </c>
      <c r="AG381" s="55"/>
      <c r="AH381" s="55"/>
      <c r="AI381" s="55"/>
      <c r="AJ381" s="55">
        <v>30000</v>
      </c>
      <c r="AK381" s="82">
        <f>SUM(AL381:AO381)</f>
        <v>30000</v>
      </c>
      <c r="AL381" s="55"/>
      <c r="AM381" s="55"/>
      <c r="AN381" s="55"/>
      <c r="AO381" s="55">
        <v>30000</v>
      </c>
      <c r="AP381" s="82">
        <f>SUM(AQ381:AT381)</f>
        <v>0</v>
      </c>
      <c r="AQ381" s="55"/>
      <c r="AR381" s="55"/>
      <c r="AS381" s="55"/>
      <c r="AT381" s="55"/>
      <c r="AU381" s="82">
        <f>SUM(AV381:AY381)</f>
        <v>0</v>
      </c>
      <c r="AV381" s="55"/>
      <c r="AW381" s="55"/>
      <c r="AX381" s="55"/>
      <c r="AY381" s="55"/>
      <c r="AZ381" s="82">
        <f>SUM(BA381:BD381)</f>
        <v>0</v>
      </c>
      <c r="BA381" s="55"/>
      <c r="BB381" s="55"/>
      <c r="BC381" s="55"/>
      <c r="BD381" s="55"/>
      <c r="BE381" s="82">
        <f>SUM(BF381:BI381)</f>
        <v>0</v>
      </c>
      <c r="BF381" s="55"/>
      <c r="BG381" s="55"/>
      <c r="BH381" s="55"/>
      <c r="BI381" s="55"/>
      <c r="BJ381" s="82">
        <f>SUM(BK381:BN381)</f>
        <v>0</v>
      </c>
      <c r="BK381" s="55"/>
      <c r="BL381" s="55"/>
      <c r="BM381" s="55"/>
      <c r="BN381" s="55"/>
      <c r="BO381" s="82">
        <f>SUM(BP381:BS381)</f>
        <v>0</v>
      </c>
      <c r="BP381" s="55"/>
      <c r="BQ381" s="55"/>
      <c r="BR381" s="55"/>
      <c r="BS381" s="55"/>
      <c r="BT381" s="82">
        <f>SUM(BU381:BX381)</f>
        <v>0</v>
      </c>
      <c r="BU381" s="55"/>
      <c r="BV381" s="55"/>
      <c r="BW381" s="55"/>
      <c r="BX381" s="55"/>
      <c r="BY381" s="82">
        <f>SUM(BZ381:CC381)</f>
        <v>0</v>
      </c>
      <c r="BZ381" s="55"/>
      <c r="CA381" s="55"/>
      <c r="CB381" s="55"/>
      <c r="CC381" s="55"/>
      <c r="CD381" s="82">
        <f>SUM(CE381:CH381)</f>
        <v>0</v>
      </c>
      <c r="CE381" s="55"/>
      <c r="CF381" s="55"/>
      <c r="CG381" s="55"/>
      <c r="CH381" s="55"/>
      <c r="CI381" s="501">
        <f>AA381+AF381+AK381</f>
        <v>90000</v>
      </c>
      <c r="CJ381" s="492">
        <f t="shared" si="868"/>
        <v>0</v>
      </c>
      <c r="CK381" s="492">
        <f t="shared" si="869"/>
        <v>0</v>
      </c>
      <c r="CL381" s="492">
        <f t="shared" si="870"/>
        <v>0</v>
      </c>
      <c r="CM381" s="492">
        <f t="shared" si="871"/>
        <v>90000</v>
      </c>
      <c r="CN381" s="489">
        <f t="shared" si="872"/>
        <v>90000</v>
      </c>
      <c r="CO381" s="486">
        <f t="shared" si="873"/>
        <v>0</v>
      </c>
      <c r="CP381" s="486">
        <f t="shared" si="874"/>
        <v>0</v>
      </c>
      <c r="CQ381" s="486">
        <f t="shared" si="875"/>
        <v>0</v>
      </c>
      <c r="CR381" s="486">
        <f t="shared" si="876"/>
        <v>90000</v>
      </c>
      <c r="CS381" s="501">
        <f t="shared" si="882"/>
        <v>0</v>
      </c>
      <c r="CT381" s="14"/>
    </row>
    <row r="382" spans="1:98" s="4" customFormat="1" ht="144" x14ac:dyDescent="0.3">
      <c r="A382" s="475" t="s">
        <v>782</v>
      </c>
      <c r="B382" s="498" t="s">
        <v>941</v>
      </c>
      <c r="C382" s="498" t="s">
        <v>1387</v>
      </c>
      <c r="D382" s="476" t="s">
        <v>1161</v>
      </c>
      <c r="E382" s="496" t="s">
        <v>52</v>
      </c>
      <c r="F382" s="61" t="s">
        <v>1124</v>
      </c>
      <c r="G382" s="477" t="s">
        <v>74</v>
      </c>
      <c r="H382" s="528"/>
      <c r="I382" s="502">
        <v>375</v>
      </c>
      <c r="J382" s="639">
        <v>375</v>
      </c>
      <c r="K382" s="502">
        <v>0</v>
      </c>
      <c r="L382" s="639">
        <v>375</v>
      </c>
      <c r="M382" s="654">
        <v>0</v>
      </c>
      <c r="N382" s="598" t="s">
        <v>1603</v>
      </c>
      <c r="O382" s="617" t="s">
        <v>1694</v>
      </c>
      <c r="P382" s="582"/>
      <c r="Q382" s="502">
        <v>375</v>
      </c>
      <c r="R382" s="502">
        <v>375</v>
      </c>
      <c r="S382" s="502">
        <v>375</v>
      </c>
      <c r="T382" s="502">
        <v>375</v>
      </c>
      <c r="U382" s="502">
        <v>375</v>
      </c>
      <c r="V382" s="502">
        <v>375</v>
      </c>
      <c r="W382" s="502">
        <v>375</v>
      </c>
      <c r="X382" s="502">
        <v>375</v>
      </c>
      <c r="Y382" s="502">
        <v>375</v>
      </c>
      <c r="Z382" s="502">
        <v>375</v>
      </c>
      <c r="AA382" s="82">
        <f>SUM(AB382:AE382)</f>
        <v>35</v>
      </c>
      <c r="AB382" s="55">
        <v>35</v>
      </c>
      <c r="AC382" s="55"/>
      <c r="AD382" s="55"/>
      <c r="AE382" s="55"/>
      <c r="AF382" s="82"/>
      <c r="AG382" s="55"/>
      <c r="AH382" s="55"/>
      <c r="AI382" s="55"/>
      <c r="AJ382" s="55"/>
      <c r="AK382" s="82"/>
      <c r="AL382" s="55"/>
      <c r="AM382" s="55"/>
      <c r="AN382" s="55"/>
      <c r="AO382" s="55"/>
      <c r="AP382" s="82"/>
      <c r="AQ382" s="55"/>
      <c r="AR382" s="55"/>
      <c r="AS382" s="55"/>
      <c r="AT382" s="55"/>
      <c r="AU382" s="82"/>
      <c r="AV382" s="55"/>
      <c r="AW382" s="55"/>
      <c r="AX382" s="55"/>
      <c r="AY382" s="55"/>
      <c r="AZ382" s="82"/>
      <c r="BA382" s="55"/>
      <c r="BB382" s="55"/>
      <c r="BC382" s="55"/>
      <c r="BD382" s="55"/>
      <c r="BE382" s="82"/>
      <c r="BF382" s="55"/>
      <c r="BG382" s="55"/>
      <c r="BH382" s="55"/>
      <c r="BI382" s="55"/>
      <c r="BJ382" s="82"/>
      <c r="BK382" s="55"/>
      <c r="BL382" s="55"/>
      <c r="BM382" s="55"/>
      <c r="BN382" s="55"/>
      <c r="BO382" s="82"/>
      <c r="BP382" s="55"/>
      <c r="BQ382" s="55"/>
      <c r="BR382" s="55"/>
      <c r="BS382" s="55"/>
      <c r="BT382" s="82"/>
      <c r="BU382" s="55"/>
      <c r="BV382" s="55"/>
      <c r="BW382" s="55"/>
      <c r="BX382" s="55"/>
      <c r="BY382" s="82"/>
      <c r="BZ382" s="55"/>
      <c r="CA382" s="55"/>
      <c r="CB382" s="55"/>
      <c r="CC382" s="55"/>
      <c r="CD382" s="82"/>
      <c r="CE382" s="55"/>
      <c r="CF382" s="55"/>
      <c r="CG382" s="55"/>
      <c r="CH382" s="55"/>
      <c r="CI382" s="501">
        <f>AA382+AF382+AK382</f>
        <v>35</v>
      </c>
      <c r="CJ382" s="492">
        <f t="shared" ref="CJ382" si="894">AB382+AG382+AL382</f>
        <v>35</v>
      </c>
      <c r="CK382" s="492">
        <f t="shared" ref="CK382" si="895">AC382+AH382+AM382</f>
        <v>0</v>
      </c>
      <c r="CL382" s="492">
        <f t="shared" ref="CL382" si="896">AD382+AI382+AN382</f>
        <v>0</v>
      </c>
      <c r="CM382" s="492">
        <f t="shared" ref="CM382" si="897">AE382+AJ382+AO382</f>
        <v>0</v>
      </c>
      <c r="CN382" s="489">
        <f t="shared" si="872"/>
        <v>35</v>
      </c>
      <c r="CO382" s="486">
        <f t="shared" si="873"/>
        <v>35</v>
      </c>
      <c r="CP382" s="486">
        <f t="shared" si="874"/>
        <v>0</v>
      </c>
      <c r="CQ382" s="486">
        <f t="shared" si="875"/>
        <v>0</v>
      </c>
      <c r="CR382" s="486">
        <f t="shared" si="876"/>
        <v>0</v>
      </c>
      <c r="CS382" s="501">
        <f t="shared" si="882"/>
        <v>0</v>
      </c>
      <c r="CT382" s="14"/>
    </row>
    <row r="383" spans="1:98" s="4" customFormat="1" ht="144" x14ac:dyDescent="0.3">
      <c r="A383" s="195" t="s">
        <v>784</v>
      </c>
      <c r="B383" s="182" t="s">
        <v>785</v>
      </c>
      <c r="C383" s="182" t="s">
        <v>1125</v>
      </c>
      <c r="D383" s="193" t="s">
        <v>1134</v>
      </c>
      <c r="E383" s="50">
        <v>2019</v>
      </c>
      <c r="F383" s="74" t="s">
        <v>786</v>
      </c>
      <c r="G383" s="50" t="s">
        <v>117</v>
      </c>
      <c r="H383" s="528"/>
      <c r="I383" s="50" t="s">
        <v>118</v>
      </c>
      <c r="J383" s="630"/>
      <c r="K383" s="286" t="s">
        <v>140</v>
      </c>
      <c r="L383" s="630"/>
      <c r="M383" s="702" t="s">
        <v>140</v>
      </c>
      <c r="N383" s="597"/>
      <c r="O383" s="617" t="s">
        <v>1680</v>
      </c>
      <c r="P383" s="444"/>
      <c r="Q383" s="50"/>
      <c r="R383" s="50"/>
      <c r="S383" s="50"/>
      <c r="T383" s="50"/>
      <c r="U383" s="50"/>
      <c r="V383" s="50"/>
      <c r="W383" s="50"/>
      <c r="X383" s="50"/>
      <c r="Y383" s="50"/>
      <c r="Z383" s="50"/>
      <c r="AA383" s="82">
        <f t="shared" ref="AA383" si="898">SUM(AB383:AE383)</f>
        <v>4000</v>
      </c>
      <c r="AB383" s="55"/>
      <c r="AC383" s="55"/>
      <c r="AD383" s="55"/>
      <c r="AE383" s="55">
        <v>4000</v>
      </c>
      <c r="AF383" s="82">
        <f>SUM(AG383:AJ383)</f>
        <v>0</v>
      </c>
      <c r="AG383" s="55"/>
      <c r="AH383" s="55"/>
      <c r="AI383" s="55"/>
      <c r="AJ383" s="55"/>
      <c r="AK383" s="82">
        <f t="shared" ref="AK383" si="899">SUM(AL383:AO383)</f>
        <v>0</v>
      </c>
      <c r="AL383" s="55"/>
      <c r="AM383" s="55"/>
      <c r="AN383" s="55"/>
      <c r="AO383" s="55"/>
      <c r="AP383" s="82">
        <f t="shared" ref="AP383" si="900">SUM(AQ383:AT383)</f>
        <v>0</v>
      </c>
      <c r="AQ383" s="55"/>
      <c r="AR383" s="55"/>
      <c r="AS383" s="55"/>
      <c r="AT383" s="55"/>
      <c r="AU383" s="82">
        <f t="shared" ref="AU383" si="901">SUM(AV383:AY383)</f>
        <v>0</v>
      </c>
      <c r="AV383" s="55"/>
      <c r="AW383" s="55"/>
      <c r="AX383" s="55"/>
      <c r="AY383" s="55"/>
      <c r="AZ383" s="82">
        <f t="shared" ref="AZ383" si="902">SUM(BA383:BD383)</f>
        <v>0</v>
      </c>
      <c r="BA383" s="55"/>
      <c r="BB383" s="55"/>
      <c r="BC383" s="55"/>
      <c r="BD383" s="55"/>
      <c r="BE383" s="82">
        <f t="shared" ref="BE383" si="903">SUM(BF383:BI383)</f>
        <v>0</v>
      </c>
      <c r="BF383" s="55"/>
      <c r="BG383" s="55"/>
      <c r="BH383" s="55"/>
      <c r="BI383" s="55"/>
      <c r="BJ383" s="82">
        <f t="shared" ref="BJ383" si="904">SUM(BK383:BN383)</f>
        <v>0</v>
      </c>
      <c r="BK383" s="55"/>
      <c r="BL383" s="55"/>
      <c r="BM383" s="55"/>
      <c r="BN383" s="55"/>
      <c r="BO383" s="82">
        <f t="shared" ref="BO383" si="905">SUM(BP383:BS383)</f>
        <v>0</v>
      </c>
      <c r="BP383" s="55"/>
      <c r="BQ383" s="55"/>
      <c r="BR383" s="55"/>
      <c r="BS383" s="55"/>
      <c r="BT383" s="82">
        <f t="shared" ref="BT383" si="906">SUM(BU383:BX383)</f>
        <v>0</v>
      </c>
      <c r="BU383" s="55"/>
      <c r="BV383" s="55"/>
      <c r="BW383" s="55"/>
      <c r="BX383" s="55"/>
      <c r="BY383" s="82">
        <f t="shared" ref="BY383" si="907">SUM(BZ383:CC383)</f>
        <v>0</v>
      </c>
      <c r="BZ383" s="55"/>
      <c r="CA383" s="55"/>
      <c r="CB383" s="55"/>
      <c r="CC383" s="55"/>
      <c r="CD383" s="82">
        <f t="shared" ref="CD383" si="908">SUM(CE383:CH383)</f>
        <v>0</v>
      </c>
      <c r="CE383" s="55"/>
      <c r="CF383" s="55"/>
      <c r="CG383" s="55"/>
      <c r="CH383" s="55"/>
      <c r="CI383" s="165">
        <f>AA383+AF383+AK383</f>
        <v>4000</v>
      </c>
      <c r="CJ383" s="164">
        <f t="shared" ref="CJ383:CM383" si="909">AB383+AG383+AL383</f>
        <v>0</v>
      </c>
      <c r="CK383" s="164">
        <f t="shared" si="909"/>
        <v>0</v>
      </c>
      <c r="CL383" s="164">
        <f t="shared" si="909"/>
        <v>0</v>
      </c>
      <c r="CM383" s="164">
        <f t="shared" si="909"/>
        <v>4000</v>
      </c>
      <c r="CN383" s="181">
        <f t="shared" si="872"/>
        <v>4000</v>
      </c>
      <c r="CO383" s="180">
        <f t="shared" si="873"/>
        <v>0</v>
      </c>
      <c r="CP383" s="180">
        <f t="shared" si="874"/>
        <v>0</v>
      </c>
      <c r="CQ383" s="180">
        <f t="shared" si="875"/>
        <v>0</v>
      </c>
      <c r="CR383" s="180">
        <f t="shared" si="876"/>
        <v>4000</v>
      </c>
      <c r="CS383" s="273">
        <f t="shared" si="882"/>
        <v>0</v>
      </c>
      <c r="CT383" s="14"/>
    </row>
    <row r="384" spans="1:98" s="4" customFormat="1" ht="198.75" customHeight="1" x14ac:dyDescent="0.3">
      <c r="A384" s="476" t="s">
        <v>787</v>
      </c>
      <c r="B384" s="498" t="s">
        <v>788</v>
      </c>
      <c r="C384" s="498" t="s">
        <v>1477</v>
      </c>
      <c r="D384" s="476" t="s">
        <v>1134</v>
      </c>
      <c r="E384" s="497">
        <v>2020</v>
      </c>
      <c r="F384" s="61" t="s">
        <v>1207</v>
      </c>
      <c r="G384" s="477" t="s">
        <v>31</v>
      </c>
      <c r="H384" s="528"/>
      <c r="I384" s="502"/>
      <c r="J384" s="639">
        <v>3</v>
      </c>
      <c r="K384" s="502" t="s">
        <v>140</v>
      </c>
      <c r="L384" s="639"/>
      <c r="M384" s="654">
        <v>0</v>
      </c>
      <c r="N384" s="592" t="s">
        <v>1604</v>
      </c>
      <c r="O384" s="615"/>
      <c r="P384" s="576"/>
      <c r="Q384" s="502"/>
      <c r="R384" s="502"/>
      <c r="S384" s="502"/>
      <c r="T384" s="502"/>
      <c r="U384" s="502"/>
      <c r="V384" s="502"/>
      <c r="W384" s="502"/>
      <c r="X384" s="502"/>
      <c r="Y384" s="502"/>
      <c r="Z384" s="502"/>
      <c r="AA384" s="82">
        <f>SUM(AB384:AE384)</f>
        <v>0</v>
      </c>
      <c r="AB384" s="55"/>
      <c r="AC384" s="55"/>
      <c r="AD384" s="55"/>
      <c r="AE384" s="55"/>
      <c r="AF384" s="82">
        <f>SUM(AG384:AJ384)</f>
        <v>0</v>
      </c>
      <c r="AG384" s="55"/>
      <c r="AH384" s="55"/>
      <c r="AI384" s="55"/>
      <c r="AJ384" s="55"/>
      <c r="AK384" s="82">
        <f>SUM(AL384:AO384)</f>
        <v>0</v>
      </c>
      <c r="AL384" s="55"/>
      <c r="AM384" s="55"/>
      <c r="AN384" s="55"/>
      <c r="AO384" s="55"/>
      <c r="AP384" s="82">
        <f>SUM(AQ384:AT384)</f>
        <v>0</v>
      </c>
      <c r="AQ384" s="55"/>
      <c r="AR384" s="55"/>
      <c r="AS384" s="55"/>
      <c r="AT384" s="55"/>
      <c r="AU384" s="82">
        <f>SUM(AV384:AY384)</f>
        <v>0</v>
      </c>
      <c r="AV384" s="55"/>
      <c r="AW384" s="55"/>
      <c r="AX384" s="55"/>
      <c r="AY384" s="55"/>
      <c r="AZ384" s="82">
        <f>SUM(BA384:BD384)</f>
        <v>0</v>
      </c>
      <c r="BA384" s="55"/>
      <c r="BB384" s="55"/>
      <c r="BC384" s="55"/>
      <c r="BD384" s="55"/>
      <c r="BE384" s="82">
        <f>SUM(BF384:BI384)</f>
        <v>0</v>
      </c>
      <c r="BF384" s="55"/>
      <c r="BG384" s="55"/>
      <c r="BH384" s="55"/>
      <c r="BI384" s="55"/>
      <c r="BJ384" s="82">
        <f>SUM(BK384:BN384)</f>
        <v>0</v>
      </c>
      <c r="BK384" s="55"/>
      <c r="BL384" s="55"/>
      <c r="BM384" s="55"/>
      <c r="BN384" s="55"/>
      <c r="BO384" s="82">
        <f>SUM(BP384:BS384)</f>
        <v>0</v>
      </c>
      <c r="BP384" s="55"/>
      <c r="BQ384" s="55"/>
      <c r="BR384" s="55"/>
      <c r="BS384" s="55"/>
      <c r="BT384" s="82">
        <f>SUM(BU384:BX384)</f>
        <v>0</v>
      </c>
      <c r="BU384" s="55"/>
      <c r="BV384" s="55"/>
      <c r="BW384" s="55"/>
      <c r="BX384" s="55"/>
      <c r="BY384" s="82">
        <f>SUM(BZ384:CC384)</f>
        <v>0</v>
      </c>
      <c r="BZ384" s="55"/>
      <c r="CA384" s="55"/>
      <c r="CB384" s="55"/>
      <c r="CC384" s="55"/>
      <c r="CD384" s="82">
        <f>SUM(CE384:CH384)</f>
        <v>0</v>
      </c>
      <c r="CE384" s="55"/>
      <c r="CF384" s="55"/>
      <c r="CG384" s="55"/>
      <c r="CH384" s="55"/>
      <c r="CI384" s="501">
        <f>AA384+AF384+AK384</f>
        <v>0</v>
      </c>
      <c r="CJ384" s="492">
        <f t="shared" ref="CJ384:CM384" si="910">AB384+AG384+AL384</f>
        <v>0</v>
      </c>
      <c r="CK384" s="492">
        <f t="shared" si="910"/>
        <v>0</v>
      </c>
      <c r="CL384" s="492">
        <f t="shared" si="910"/>
        <v>0</v>
      </c>
      <c r="CM384" s="492">
        <f t="shared" si="910"/>
        <v>0</v>
      </c>
      <c r="CN384" s="489">
        <f t="shared" si="872"/>
        <v>0</v>
      </c>
      <c r="CO384" s="486">
        <f t="shared" si="873"/>
        <v>0</v>
      </c>
      <c r="CP384" s="486">
        <f t="shared" si="874"/>
        <v>0</v>
      </c>
      <c r="CQ384" s="486">
        <f t="shared" si="875"/>
        <v>0</v>
      </c>
      <c r="CR384" s="486">
        <f t="shared" si="876"/>
        <v>0</v>
      </c>
      <c r="CS384" s="501">
        <f t="shared" si="882"/>
        <v>0</v>
      </c>
      <c r="CT384" s="471"/>
    </row>
    <row r="385" spans="1:98" s="4" customFormat="1" ht="213" customHeight="1" x14ac:dyDescent="0.3">
      <c r="A385" s="844" t="s">
        <v>1448</v>
      </c>
      <c r="B385" s="777" t="s">
        <v>789</v>
      </c>
      <c r="C385" s="777" t="s">
        <v>1388</v>
      </c>
      <c r="D385" s="714" t="s">
        <v>1162</v>
      </c>
      <c r="E385" s="716" t="s">
        <v>52</v>
      </c>
      <c r="F385" s="777" t="s">
        <v>790</v>
      </c>
      <c r="G385" s="716" t="s">
        <v>117</v>
      </c>
      <c r="H385" s="716"/>
      <c r="I385" s="716" t="s">
        <v>118</v>
      </c>
      <c r="J385" s="716" t="s">
        <v>118</v>
      </c>
      <c r="K385" s="716" t="s">
        <v>118</v>
      </c>
      <c r="L385" s="716" t="s">
        <v>118</v>
      </c>
      <c r="M385" s="718" t="s">
        <v>118</v>
      </c>
      <c r="N385" s="761" t="s">
        <v>1605</v>
      </c>
      <c r="O385" s="777" t="s">
        <v>1634</v>
      </c>
      <c r="P385" s="550"/>
      <c r="Q385" s="50" t="s">
        <v>118</v>
      </c>
      <c r="R385" s="50" t="s">
        <v>118</v>
      </c>
      <c r="S385" s="50" t="s">
        <v>118</v>
      </c>
      <c r="T385" s="50" t="s">
        <v>118</v>
      </c>
      <c r="U385" s="50" t="s">
        <v>118</v>
      </c>
      <c r="V385" s="50" t="s">
        <v>118</v>
      </c>
      <c r="W385" s="50" t="s">
        <v>118</v>
      </c>
      <c r="X385" s="50" t="s">
        <v>118</v>
      </c>
      <c r="Y385" s="50" t="s">
        <v>118</v>
      </c>
      <c r="Z385" s="50" t="s">
        <v>118</v>
      </c>
      <c r="AA385" s="165">
        <f t="shared" ref="AA385:AA389" si="911">SUM(AB385:AE385)</f>
        <v>189.1</v>
      </c>
      <c r="AB385" s="196">
        <v>189.1</v>
      </c>
      <c r="AC385" s="196"/>
      <c r="AD385" s="196"/>
      <c r="AE385" s="196"/>
      <c r="AF385" s="165">
        <f t="shared" ref="AF385:AF390" si="912">SUM(AG385:AJ385)</f>
        <v>189.1</v>
      </c>
      <c r="AG385" s="196">
        <v>189.1</v>
      </c>
      <c r="AH385" s="196"/>
      <c r="AI385" s="196"/>
      <c r="AJ385" s="196"/>
      <c r="AK385" s="165">
        <f t="shared" ref="AK385:AK390" si="913">SUM(AL385:AO385)</f>
        <v>189.1</v>
      </c>
      <c r="AL385" s="196">
        <v>189.1</v>
      </c>
      <c r="AM385" s="196"/>
      <c r="AN385" s="196"/>
      <c r="AO385" s="196"/>
      <c r="AP385" s="165">
        <v>189.1</v>
      </c>
      <c r="AQ385" s="196"/>
      <c r="AR385" s="196"/>
      <c r="AS385" s="196"/>
      <c r="AT385" s="196"/>
      <c r="AU385" s="165">
        <v>189.1</v>
      </c>
      <c r="AV385" s="196"/>
      <c r="AW385" s="196"/>
      <c r="AX385" s="196"/>
      <c r="AY385" s="196"/>
      <c r="AZ385" s="165">
        <v>189.1</v>
      </c>
      <c r="BA385" s="196"/>
      <c r="BB385" s="196"/>
      <c r="BC385" s="196"/>
      <c r="BD385" s="196"/>
      <c r="BE385" s="165">
        <v>189.1</v>
      </c>
      <c r="BF385" s="196"/>
      <c r="BG385" s="196"/>
      <c r="BH385" s="196"/>
      <c r="BI385" s="196"/>
      <c r="BJ385" s="165">
        <v>189.1</v>
      </c>
      <c r="BK385" s="196"/>
      <c r="BL385" s="196"/>
      <c r="BM385" s="196"/>
      <c r="BN385" s="196"/>
      <c r="BO385" s="165">
        <v>189.1</v>
      </c>
      <c r="BP385" s="196"/>
      <c r="BQ385" s="196"/>
      <c r="BR385" s="196"/>
      <c r="BS385" s="196"/>
      <c r="BT385" s="165">
        <v>189.1</v>
      </c>
      <c r="BU385" s="196"/>
      <c r="BV385" s="196"/>
      <c r="BW385" s="196"/>
      <c r="BX385" s="196"/>
      <c r="BY385" s="165">
        <v>189.1</v>
      </c>
      <c r="BZ385" s="196"/>
      <c r="CA385" s="196"/>
      <c r="CB385" s="196"/>
      <c r="CC385" s="196"/>
      <c r="CD385" s="165">
        <v>189.1</v>
      </c>
      <c r="CE385" s="196"/>
      <c r="CF385" s="196"/>
      <c r="CG385" s="196"/>
      <c r="CH385" s="196"/>
      <c r="CI385" s="181">
        <f>AA385+AF385+AK385</f>
        <v>567.29999999999995</v>
      </c>
      <c r="CJ385" s="180">
        <f t="shared" ref="CJ385:CM385" si="914">AB385+AG385+AL385</f>
        <v>567.29999999999995</v>
      </c>
      <c r="CK385" s="180">
        <f t="shared" si="914"/>
        <v>0</v>
      </c>
      <c r="CL385" s="180">
        <f t="shared" si="914"/>
        <v>0</v>
      </c>
      <c r="CM385" s="180">
        <f t="shared" si="914"/>
        <v>0</v>
      </c>
      <c r="CN385" s="181">
        <f t="shared" si="872"/>
        <v>2269.1999999999994</v>
      </c>
      <c r="CO385" s="180">
        <f t="shared" si="873"/>
        <v>567.29999999999995</v>
      </c>
      <c r="CP385" s="180">
        <f t="shared" si="874"/>
        <v>0</v>
      </c>
      <c r="CQ385" s="180">
        <f t="shared" si="875"/>
        <v>0</v>
      </c>
      <c r="CR385" s="180">
        <f t="shared" si="876"/>
        <v>0</v>
      </c>
      <c r="CS385" s="273">
        <f t="shared" si="882"/>
        <v>1701.8999999999994</v>
      </c>
      <c r="CT385" s="760"/>
    </row>
    <row r="386" spans="1:98" s="4" customFormat="1" ht="409.5" customHeight="1" x14ac:dyDescent="0.3">
      <c r="A386" s="845"/>
      <c r="B386" s="778"/>
      <c r="C386" s="778"/>
      <c r="D386" s="715"/>
      <c r="E386" s="717"/>
      <c r="F386" s="778"/>
      <c r="G386" s="717"/>
      <c r="H386" s="717"/>
      <c r="I386" s="717"/>
      <c r="J386" s="717"/>
      <c r="K386" s="717"/>
      <c r="L386" s="717"/>
      <c r="M386" s="719"/>
      <c r="N386" s="762"/>
      <c r="O386" s="778"/>
      <c r="P386" s="551"/>
      <c r="Q386" s="433"/>
      <c r="R386" s="433"/>
      <c r="S386" s="433"/>
      <c r="T386" s="433"/>
      <c r="U386" s="433"/>
      <c r="V386" s="433"/>
      <c r="W386" s="433"/>
      <c r="X386" s="433"/>
      <c r="Y386" s="433"/>
      <c r="Z386" s="433"/>
      <c r="AA386" s="435"/>
      <c r="AB386" s="432"/>
      <c r="AC386" s="432"/>
      <c r="AD386" s="432"/>
      <c r="AE386" s="432"/>
      <c r="AF386" s="435"/>
      <c r="AG386" s="432"/>
      <c r="AH386" s="432"/>
      <c r="AI386" s="432"/>
      <c r="AJ386" s="432"/>
      <c r="AK386" s="435"/>
      <c r="AL386" s="432"/>
      <c r="AM386" s="432"/>
      <c r="AN386" s="432"/>
      <c r="AO386" s="432"/>
      <c r="AP386" s="435"/>
      <c r="AQ386" s="432"/>
      <c r="AR386" s="432"/>
      <c r="AS386" s="432"/>
      <c r="AT386" s="432"/>
      <c r="AU386" s="435"/>
      <c r="AV386" s="432"/>
      <c r="AW386" s="432"/>
      <c r="AX386" s="432"/>
      <c r="AY386" s="432"/>
      <c r="AZ386" s="435"/>
      <c r="BA386" s="432"/>
      <c r="BB386" s="432"/>
      <c r="BC386" s="432"/>
      <c r="BD386" s="432"/>
      <c r="BE386" s="435"/>
      <c r="BF386" s="432"/>
      <c r="BG386" s="432"/>
      <c r="BH386" s="432"/>
      <c r="BI386" s="432"/>
      <c r="BJ386" s="435"/>
      <c r="BK386" s="432"/>
      <c r="BL386" s="432"/>
      <c r="BM386" s="432"/>
      <c r="BN386" s="432"/>
      <c r="BO386" s="435"/>
      <c r="BP386" s="432"/>
      <c r="BQ386" s="432"/>
      <c r="BR386" s="432"/>
      <c r="BS386" s="432"/>
      <c r="BT386" s="435"/>
      <c r="BU386" s="432"/>
      <c r="BV386" s="432"/>
      <c r="BW386" s="432"/>
      <c r="BX386" s="432"/>
      <c r="BY386" s="435"/>
      <c r="BZ386" s="432"/>
      <c r="CA386" s="432"/>
      <c r="CB386" s="432"/>
      <c r="CC386" s="432"/>
      <c r="CD386" s="435"/>
      <c r="CE386" s="432"/>
      <c r="CF386" s="432"/>
      <c r="CG386" s="432"/>
      <c r="CH386" s="432"/>
      <c r="CI386" s="429"/>
      <c r="CJ386" s="430"/>
      <c r="CK386" s="430"/>
      <c r="CL386" s="430"/>
      <c r="CM386" s="430"/>
      <c r="CN386" s="429"/>
      <c r="CO386" s="430"/>
      <c r="CP386" s="430"/>
      <c r="CQ386" s="430"/>
      <c r="CR386" s="430"/>
      <c r="CS386" s="437"/>
      <c r="CT386" s="760"/>
    </row>
    <row r="387" spans="1:98" s="4" customFormat="1" ht="152.25" customHeight="1" x14ac:dyDescent="0.3">
      <c r="A387" s="758" t="s">
        <v>1449</v>
      </c>
      <c r="B387" s="759" t="s">
        <v>791</v>
      </c>
      <c r="C387" s="759" t="s">
        <v>1389</v>
      </c>
      <c r="D387" s="759" t="s">
        <v>1162</v>
      </c>
      <c r="E387" s="720" t="s">
        <v>258</v>
      </c>
      <c r="F387" s="759" t="s">
        <v>792</v>
      </c>
      <c r="G387" s="720" t="s">
        <v>117</v>
      </c>
      <c r="H387" s="720"/>
      <c r="I387" s="716" t="s">
        <v>118</v>
      </c>
      <c r="J387" s="720" t="s">
        <v>118</v>
      </c>
      <c r="K387" s="720" t="s">
        <v>118</v>
      </c>
      <c r="L387" s="720" t="s">
        <v>118</v>
      </c>
      <c r="M387" s="721" t="s">
        <v>118</v>
      </c>
      <c r="N387" s="761" t="s">
        <v>1606</v>
      </c>
      <c r="O387" s="777" t="s">
        <v>1635</v>
      </c>
      <c r="P387" s="550"/>
      <c r="Q387" s="477" t="s">
        <v>118</v>
      </c>
      <c r="R387" s="477" t="s">
        <v>118</v>
      </c>
      <c r="S387" s="477" t="s">
        <v>118</v>
      </c>
      <c r="T387" s="477" t="s">
        <v>118</v>
      </c>
      <c r="U387" s="477" t="s">
        <v>118</v>
      </c>
      <c r="V387" s="477" t="s">
        <v>118</v>
      </c>
      <c r="W387" s="477" t="s">
        <v>118</v>
      </c>
      <c r="X387" s="477" t="s">
        <v>118</v>
      </c>
      <c r="Y387" s="477" t="s">
        <v>118</v>
      </c>
      <c r="Z387" s="477" t="s">
        <v>118</v>
      </c>
      <c r="AA387" s="82">
        <f t="shared" si="911"/>
        <v>0</v>
      </c>
      <c r="AB387" s="55"/>
      <c r="AC387" s="55"/>
      <c r="AD387" s="55"/>
      <c r="AE387" s="55"/>
      <c r="AF387" s="82">
        <f t="shared" si="912"/>
        <v>0</v>
      </c>
      <c r="AG387" s="55"/>
      <c r="AH387" s="55"/>
      <c r="AI387" s="55"/>
      <c r="AJ387" s="55"/>
      <c r="AK387" s="82">
        <f t="shared" si="913"/>
        <v>0</v>
      </c>
      <c r="AL387" s="55"/>
      <c r="AM387" s="55"/>
      <c r="AN387" s="55"/>
      <c r="AO387" s="55"/>
      <c r="AP387" s="82">
        <f t="shared" ref="AP387:AP389" si="915">SUM(AQ387:AT387)</f>
        <v>0</v>
      </c>
      <c r="AQ387" s="55"/>
      <c r="AR387" s="55"/>
      <c r="AS387" s="55"/>
      <c r="AT387" s="55"/>
      <c r="AU387" s="82">
        <f t="shared" ref="AU387:AU389" si="916">SUM(AV387:AY387)</f>
        <v>0</v>
      </c>
      <c r="AV387" s="55"/>
      <c r="AW387" s="55"/>
      <c r="AX387" s="55"/>
      <c r="AY387" s="55"/>
      <c r="AZ387" s="82">
        <f t="shared" ref="AZ387:AZ389" si="917">SUM(BA387:BD387)</f>
        <v>0</v>
      </c>
      <c r="BA387" s="55"/>
      <c r="BB387" s="55"/>
      <c r="BC387" s="55"/>
      <c r="BD387" s="55"/>
      <c r="BE387" s="82">
        <f t="shared" ref="BE387:BE389" si="918">SUM(BF387:BI387)</f>
        <v>0</v>
      </c>
      <c r="BF387" s="55"/>
      <c r="BG387" s="55"/>
      <c r="BH387" s="55"/>
      <c r="BI387" s="55"/>
      <c r="BJ387" s="82">
        <f t="shared" ref="BJ387:BJ389" si="919">SUM(BK387:BN387)</f>
        <v>0</v>
      </c>
      <c r="BK387" s="55"/>
      <c r="BL387" s="55"/>
      <c r="BM387" s="55"/>
      <c r="BN387" s="55"/>
      <c r="BO387" s="82">
        <f t="shared" ref="BO387:BO389" si="920">SUM(BP387:BS387)</f>
        <v>0</v>
      </c>
      <c r="BP387" s="55"/>
      <c r="BQ387" s="55"/>
      <c r="BR387" s="55"/>
      <c r="BS387" s="55"/>
      <c r="BT387" s="82">
        <f t="shared" ref="BT387:BT389" si="921">SUM(BU387:BX387)</f>
        <v>0</v>
      </c>
      <c r="BU387" s="55"/>
      <c r="BV387" s="55"/>
      <c r="BW387" s="55"/>
      <c r="BX387" s="55"/>
      <c r="BY387" s="82">
        <f t="shared" ref="BY387:BY389" si="922">SUM(BZ387:CC387)</f>
        <v>0</v>
      </c>
      <c r="BZ387" s="55"/>
      <c r="CA387" s="55"/>
      <c r="CB387" s="55"/>
      <c r="CC387" s="55"/>
      <c r="CD387" s="82">
        <f t="shared" ref="CD387:CD389" si="923">SUM(CE387:CH387)</f>
        <v>0</v>
      </c>
      <c r="CE387" s="55"/>
      <c r="CF387" s="55"/>
      <c r="CG387" s="55"/>
      <c r="CH387" s="55"/>
      <c r="CI387" s="501">
        <f t="shared" ref="CI387:CI389" si="924">AA387+AF387+AK387</f>
        <v>0</v>
      </c>
      <c r="CJ387" s="492">
        <f t="shared" ref="CJ387:CJ389" si="925">AB387+AG387+AL387</f>
        <v>0</v>
      </c>
      <c r="CK387" s="492">
        <f t="shared" ref="CK387:CK389" si="926">AC387+AH387+AM387</f>
        <v>0</v>
      </c>
      <c r="CL387" s="492">
        <f t="shared" ref="CL387:CL389" si="927">AD387+AI387+AN387</f>
        <v>0</v>
      </c>
      <c r="CM387" s="492">
        <f t="shared" ref="CM387:CM389" si="928">AE387+AJ387+AO387</f>
        <v>0</v>
      </c>
      <c r="CN387" s="501">
        <f t="shared" si="872"/>
        <v>0</v>
      </c>
      <c r="CO387" s="492">
        <f t="shared" si="873"/>
        <v>0</v>
      </c>
      <c r="CP387" s="492">
        <f t="shared" si="874"/>
        <v>0</v>
      </c>
      <c r="CQ387" s="492">
        <f t="shared" si="875"/>
        <v>0</v>
      </c>
      <c r="CR387" s="492">
        <f t="shared" si="876"/>
        <v>0</v>
      </c>
      <c r="CS387" s="501">
        <f t="shared" si="882"/>
        <v>0</v>
      </c>
      <c r="CT387" s="760"/>
    </row>
    <row r="388" spans="1:98" s="4" customFormat="1" ht="223.5" customHeight="1" x14ac:dyDescent="0.3">
      <c r="A388" s="758"/>
      <c r="B388" s="759"/>
      <c r="C388" s="759"/>
      <c r="D388" s="759"/>
      <c r="E388" s="720"/>
      <c r="F388" s="759"/>
      <c r="G388" s="720"/>
      <c r="H388" s="720"/>
      <c r="I388" s="717"/>
      <c r="J388" s="720"/>
      <c r="K388" s="720"/>
      <c r="L388" s="720"/>
      <c r="M388" s="721"/>
      <c r="N388" s="762"/>
      <c r="O388" s="778"/>
      <c r="P388" s="551"/>
      <c r="Q388" s="477"/>
      <c r="R388" s="477"/>
      <c r="S388" s="477"/>
      <c r="T388" s="477"/>
      <c r="U388" s="477"/>
      <c r="V388" s="477"/>
      <c r="W388" s="477"/>
      <c r="X388" s="477"/>
      <c r="Y388" s="477"/>
      <c r="Z388" s="477"/>
      <c r="AA388" s="82"/>
      <c r="AB388" s="55"/>
      <c r="AC388" s="55"/>
      <c r="AD388" s="55"/>
      <c r="AE388" s="55"/>
      <c r="AF388" s="82"/>
      <c r="AG388" s="55"/>
      <c r="AH388" s="55"/>
      <c r="AI388" s="55"/>
      <c r="AJ388" s="55"/>
      <c r="AK388" s="82"/>
      <c r="AL388" s="55"/>
      <c r="AM388" s="55"/>
      <c r="AN388" s="55"/>
      <c r="AO388" s="55"/>
      <c r="AP388" s="82"/>
      <c r="AQ388" s="55"/>
      <c r="AR388" s="55"/>
      <c r="AS388" s="55"/>
      <c r="AT388" s="55"/>
      <c r="AU388" s="82"/>
      <c r="AV388" s="55"/>
      <c r="AW388" s="55"/>
      <c r="AX388" s="55"/>
      <c r="AY388" s="55"/>
      <c r="AZ388" s="82"/>
      <c r="BA388" s="55"/>
      <c r="BB388" s="55"/>
      <c r="BC388" s="55"/>
      <c r="BD388" s="55"/>
      <c r="BE388" s="82"/>
      <c r="BF388" s="55"/>
      <c r="BG388" s="55"/>
      <c r="BH388" s="55"/>
      <c r="BI388" s="55"/>
      <c r="BJ388" s="82"/>
      <c r="BK388" s="55"/>
      <c r="BL388" s="55"/>
      <c r="BM388" s="55"/>
      <c r="BN388" s="55"/>
      <c r="BO388" s="82"/>
      <c r="BP388" s="55"/>
      <c r="BQ388" s="55"/>
      <c r="BR388" s="55"/>
      <c r="BS388" s="55"/>
      <c r="BT388" s="82"/>
      <c r="BU388" s="55"/>
      <c r="BV388" s="55"/>
      <c r="BW388" s="55"/>
      <c r="BX388" s="55"/>
      <c r="BY388" s="82"/>
      <c r="BZ388" s="55"/>
      <c r="CA388" s="55"/>
      <c r="CB388" s="55"/>
      <c r="CC388" s="55"/>
      <c r="CD388" s="82"/>
      <c r="CE388" s="55"/>
      <c r="CF388" s="55"/>
      <c r="CG388" s="55"/>
      <c r="CH388" s="55"/>
      <c r="CI388" s="501"/>
      <c r="CJ388" s="492"/>
      <c r="CK388" s="492"/>
      <c r="CL388" s="492"/>
      <c r="CM388" s="492"/>
      <c r="CN388" s="501"/>
      <c r="CO388" s="492"/>
      <c r="CP388" s="492"/>
      <c r="CQ388" s="492"/>
      <c r="CR388" s="492"/>
      <c r="CS388" s="501"/>
      <c r="CT388" s="760"/>
    </row>
    <row r="389" spans="1:98" s="4" customFormat="1" ht="240" x14ac:dyDescent="0.3">
      <c r="A389" s="475" t="s">
        <v>1450</v>
      </c>
      <c r="B389" s="498" t="s">
        <v>793</v>
      </c>
      <c r="C389" s="498" t="s">
        <v>1390</v>
      </c>
      <c r="D389" s="503" t="s">
        <v>1163</v>
      </c>
      <c r="E389" s="477" t="s">
        <v>258</v>
      </c>
      <c r="F389" s="500" t="s">
        <v>794</v>
      </c>
      <c r="G389" s="477" t="s">
        <v>117</v>
      </c>
      <c r="H389" s="528"/>
      <c r="I389" s="477" t="s">
        <v>118</v>
      </c>
      <c r="J389" s="630" t="s">
        <v>118</v>
      </c>
      <c r="K389" s="477" t="s">
        <v>1472</v>
      </c>
      <c r="L389" s="630" t="s">
        <v>118</v>
      </c>
      <c r="M389" s="702" t="s">
        <v>1472</v>
      </c>
      <c r="N389" s="598" t="s">
        <v>1607</v>
      </c>
      <c r="O389" s="617" t="s">
        <v>1607</v>
      </c>
      <c r="P389" s="582"/>
      <c r="Q389" s="477" t="s">
        <v>118</v>
      </c>
      <c r="R389" s="477" t="s">
        <v>118</v>
      </c>
      <c r="S389" s="477" t="s">
        <v>118</v>
      </c>
      <c r="T389" s="477" t="s">
        <v>118</v>
      </c>
      <c r="U389" s="477" t="s">
        <v>118</v>
      </c>
      <c r="V389" s="477" t="s">
        <v>118</v>
      </c>
      <c r="W389" s="477" t="s">
        <v>118</v>
      </c>
      <c r="X389" s="477" t="s">
        <v>118</v>
      </c>
      <c r="Y389" s="477" t="s">
        <v>118</v>
      </c>
      <c r="Z389" s="477" t="s">
        <v>118</v>
      </c>
      <c r="AA389" s="82">
        <f t="shared" si="911"/>
        <v>0</v>
      </c>
      <c r="AB389" s="55"/>
      <c r="AC389" s="55"/>
      <c r="AD389" s="55"/>
      <c r="AE389" s="55"/>
      <c r="AF389" s="82">
        <f t="shared" si="912"/>
        <v>0</v>
      </c>
      <c r="AG389" s="55"/>
      <c r="AH389" s="55"/>
      <c r="AI389" s="55"/>
      <c r="AJ389" s="55"/>
      <c r="AK389" s="82">
        <f t="shared" si="913"/>
        <v>0</v>
      </c>
      <c r="AL389" s="55"/>
      <c r="AM389" s="55"/>
      <c r="AN389" s="55"/>
      <c r="AO389" s="55"/>
      <c r="AP389" s="82">
        <f t="shared" si="915"/>
        <v>0</v>
      </c>
      <c r="AQ389" s="55"/>
      <c r="AR389" s="55"/>
      <c r="AS389" s="55"/>
      <c r="AT389" s="55"/>
      <c r="AU389" s="82">
        <f t="shared" si="916"/>
        <v>0</v>
      </c>
      <c r="AV389" s="55"/>
      <c r="AW389" s="55"/>
      <c r="AX389" s="55"/>
      <c r="AY389" s="55"/>
      <c r="AZ389" s="82">
        <f t="shared" si="917"/>
        <v>0</v>
      </c>
      <c r="BA389" s="55"/>
      <c r="BB389" s="55"/>
      <c r="BC389" s="55"/>
      <c r="BD389" s="55"/>
      <c r="BE389" s="82">
        <f t="shared" si="918"/>
        <v>0</v>
      </c>
      <c r="BF389" s="55"/>
      <c r="BG389" s="55"/>
      <c r="BH389" s="55"/>
      <c r="BI389" s="55"/>
      <c r="BJ389" s="82">
        <f t="shared" si="919"/>
        <v>0</v>
      </c>
      <c r="BK389" s="55"/>
      <c r="BL389" s="55"/>
      <c r="BM389" s="55"/>
      <c r="BN389" s="55"/>
      <c r="BO389" s="82">
        <f t="shared" si="920"/>
        <v>0</v>
      </c>
      <c r="BP389" s="55"/>
      <c r="BQ389" s="55"/>
      <c r="BR389" s="55"/>
      <c r="BS389" s="55"/>
      <c r="BT389" s="82">
        <f t="shared" si="921"/>
        <v>0</v>
      </c>
      <c r="BU389" s="55"/>
      <c r="BV389" s="55"/>
      <c r="BW389" s="55"/>
      <c r="BX389" s="55"/>
      <c r="BY389" s="82">
        <f t="shared" si="922"/>
        <v>0</v>
      </c>
      <c r="BZ389" s="55"/>
      <c r="CA389" s="55"/>
      <c r="CB389" s="55"/>
      <c r="CC389" s="55"/>
      <c r="CD389" s="82">
        <f t="shared" si="923"/>
        <v>0</v>
      </c>
      <c r="CE389" s="55"/>
      <c r="CF389" s="55"/>
      <c r="CG389" s="55"/>
      <c r="CH389" s="55"/>
      <c r="CI389" s="501">
        <f t="shared" si="924"/>
        <v>0</v>
      </c>
      <c r="CJ389" s="492">
        <f t="shared" si="925"/>
        <v>0</v>
      </c>
      <c r="CK389" s="492">
        <f t="shared" si="926"/>
        <v>0</v>
      </c>
      <c r="CL389" s="492">
        <f t="shared" si="927"/>
        <v>0</v>
      </c>
      <c r="CM389" s="492">
        <f t="shared" si="928"/>
        <v>0</v>
      </c>
      <c r="CN389" s="501">
        <f t="shared" si="872"/>
        <v>0</v>
      </c>
      <c r="CO389" s="492">
        <f t="shared" si="873"/>
        <v>0</v>
      </c>
      <c r="CP389" s="492">
        <f t="shared" si="874"/>
        <v>0</v>
      </c>
      <c r="CQ389" s="492">
        <f t="shared" si="875"/>
        <v>0</v>
      </c>
      <c r="CR389" s="492">
        <f t="shared" si="876"/>
        <v>0</v>
      </c>
      <c r="CS389" s="501">
        <f t="shared" si="882"/>
        <v>0</v>
      </c>
      <c r="CT389" s="14"/>
    </row>
    <row r="390" spans="1:98" s="4" customFormat="1" ht="264" x14ac:dyDescent="0.3">
      <c r="A390" s="475" t="s">
        <v>1451</v>
      </c>
      <c r="B390" s="498" t="s">
        <v>795</v>
      </c>
      <c r="C390" s="498" t="s">
        <v>1391</v>
      </c>
      <c r="D390" s="476" t="s">
        <v>1159</v>
      </c>
      <c r="E390" s="477" t="s">
        <v>258</v>
      </c>
      <c r="F390" s="500" t="s">
        <v>796</v>
      </c>
      <c r="G390" s="477" t="s">
        <v>117</v>
      </c>
      <c r="H390" s="528"/>
      <c r="I390" s="477" t="s">
        <v>118</v>
      </c>
      <c r="J390" s="630" t="s">
        <v>118</v>
      </c>
      <c r="K390" s="477" t="s">
        <v>1473</v>
      </c>
      <c r="L390" s="630" t="s">
        <v>118</v>
      </c>
      <c r="M390" s="702" t="s">
        <v>1473</v>
      </c>
      <c r="N390" s="611" t="s">
        <v>1608</v>
      </c>
      <c r="O390" s="617" t="s">
        <v>1700</v>
      </c>
      <c r="P390" s="542"/>
      <c r="Q390" s="477" t="s">
        <v>118</v>
      </c>
      <c r="R390" s="477" t="s">
        <v>118</v>
      </c>
      <c r="S390" s="477" t="s">
        <v>118</v>
      </c>
      <c r="T390" s="477" t="s">
        <v>118</v>
      </c>
      <c r="U390" s="477" t="s">
        <v>118</v>
      </c>
      <c r="V390" s="477" t="s">
        <v>118</v>
      </c>
      <c r="W390" s="477" t="s">
        <v>118</v>
      </c>
      <c r="X390" s="477" t="s">
        <v>118</v>
      </c>
      <c r="Y390" s="477" t="s">
        <v>118</v>
      </c>
      <c r="Z390" s="477" t="s">
        <v>118</v>
      </c>
      <c r="AA390" s="82">
        <f>SUM(AB390:AE390)</f>
        <v>150</v>
      </c>
      <c r="AB390" s="55">
        <v>150</v>
      </c>
      <c r="AC390" s="55"/>
      <c r="AD390" s="55"/>
      <c r="AE390" s="55"/>
      <c r="AF390" s="82">
        <f t="shared" si="912"/>
        <v>150</v>
      </c>
      <c r="AG390" s="55">
        <v>150</v>
      </c>
      <c r="AH390" s="55"/>
      <c r="AI390" s="55"/>
      <c r="AJ390" s="55"/>
      <c r="AK390" s="82">
        <f t="shared" si="913"/>
        <v>150</v>
      </c>
      <c r="AL390" s="55">
        <v>150</v>
      </c>
      <c r="AM390" s="55"/>
      <c r="AN390" s="55"/>
      <c r="AO390" s="55"/>
      <c r="AP390" s="82">
        <v>150</v>
      </c>
      <c r="AQ390" s="55"/>
      <c r="AR390" s="55"/>
      <c r="AS390" s="55"/>
      <c r="AT390" s="55"/>
      <c r="AU390" s="82">
        <v>150</v>
      </c>
      <c r="AV390" s="55"/>
      <c r="AW390" s="55"/>
      <c r="AX390" s="55"/>
      <c r="AY390" s="55"/>
      <c r="AZ390" s="82">
        <v>150</v>
      </c>
      <c r="BA390" s="55"/>
      <c r="BB390" s="55"/>
      <c r="BC390" s="55"/>
      <c r="BD390" s="55"/>
      <c r="BE390" s="82">
        <v>150</v>
      </c>
      <c r="BF390" s="55"/>
      <c r="BG390" s="55"/>
      <c r="BH390" s="55"/>
      <c r="BI390" s="55"/>
      <c r="BJ390" s="82">
        <v>150</v>
      </c>
      <c r="BK390" s="55"/>
      <c r="BL390" s="55"/>
      <c r="BM390" s="55"/>
      <c r="BN390" s="55"/>
      <c r="BO390" s="82">
        <v>150</v>
      </c>
      <c r="BP390" s="55"/>
      <c r="BQ390" s="55"/>
      <c r="BR390" s="55"/>
      <c r="BS390" s="55"/>
      <c r="BT390" s="82">
        <v>150</v>
      </c>
      <c r="BU390" s="55"/>
      <c r="BV390" s="55"/>
      <c r="BW390" s="55"/>
      <c r="BX390" s="55"/>
      <c r="BY390" s="82">
        <v>150</v>
      </c>
      <c r="BZ390" s="55"/>
      <c r="CA390" s="55"/>
      <c r="CB390" s="55"/>
      <c r="CC390" s="55"/>
      <c r="CD390" s="82">
        <v>150</v>
      </c>
      <c r="CE390" s="55"/>
      <c r="CF390" s="55"/>
      <c r="CG390" s="55"/>
      <c r="CH390" s="55"/>
      <c r="CI390" s="501">
        <f t="shared" ref="CI390:CI392" si="929">AA390+AF390+AK390</f>
        <v>450</v>
      </c>
      <c r="CJ390" s="492">
        <f t="shared" ref="CJ390:CJ392" si="930">AB390+AG390+AL390</f>
        <v>450</v>
      </c>
      <c r="CK390" s="492">
        <f t="shared" ref="CK390:CK392" si="931">AC390+AH390+AM390</f>
        <v>0</v>
      </c>
      <c r="CL390" s="492">
        <f t="shared" ref="CL390:CL392" si="932">AD390+AI390+AN390</f>
        <v>0</v>
      </c>
      <c r="CM390" s="492">
        <f t="shared" ref="CM390:CM392" si="933">AE390+AJ390+AO390</f>
        <v>0</v>
      </c>
      <c r="CN390" s="501">
        <f t="shared" si="872"/>
        <v>1800</v>
      </c>
      <c r="CO390" s="492">
        <f t="shared" si="873"/>
        <v>450</v>
      </c>
      <c r="CP390" s="492">
        <f t="shared" si="874"/>
        <v>0</v>
      </c>
      <c r="CQ390" s="492">
        <f t="shared" si="875"/>
        <v>0</v>
      </c>
      <c r="CR390" s="492">
        <f t="shared" si="876"/>
        <v>0</v>
      </c>
      <c r="CS390" s="501">
        <f>CN390-CO390-CP390-CQ390-CR390</f>
        <v>1350</v>
      </c>
      <c r="CT390" s="14"/>
    </row>
    <row r="391" spans="1:98" s="4" customFormat="1" ht="337.5" x14ac:dyDescent="0.3">
      <c r="A391" s="195" t="s">
        <v>1475</v>
      </c>
      <c r="B391" s="182" t="s">
        <v>797</v>
      </c>
      <c r="C391" s="182" t="s">
        <v>1392</v>
      </c>
      <c r="D391" s="193" t="s">
        <v>1159</v>
      </c>
      <c r="E391" s="50" t="s">
        <v>258</v>
      </c>
      <c r="F391" s="74" t="s">
        <v>798</v>
      </c>
      <c r="G391" s="50" t="s">
        <v>117</v>
      </c>
      <c r="H391" s="528"/>
      <c r="I391" s="50" t="s">
        <v>118</v>
      </c>
      <c r="J391" s="630"/>
      <c r="K391" s="517"/>
      <c r="L391" s="630" t="s">
        <v>118</v>
      </c>
      <c r="M391" s="702" t="s">
        <v>118</v>
      </c>
      <c r="N391" s="599"/>
      <c r="O391" s="523" t="s">
        <v>1717</v>
      </c>
      <c r="P391" s="714"/>
      <c r="Q391" s="50" t="s">
        <v>118</v>
      </c>
      <c r="R391" s="50" t="s">
        <v>118</v>
      </c>
      <c r="S391" s="50" t="s">
        <v>118</v>
      </c>
      <c r="T391" s="50" t="s">
        <v>118</v>
      </c>
      <c r="U391" s="50" t="s">
        <v>118</v>
      </c>
      <c r="V391" s="50" t="s">
        <v>118</v>
      </c>
      <c r="W391" s="50" t="s">
        <v>118</v>
      </c>
      <c r="X391" s="50" t="s">
        <v>118</v>
      </c>
      <c r="Y391" s="50" t="s">
        <v>118</v>
      </c>
      <c r="Z391" s="50" t="s">
        <v>118</v>
      </c>
      <c r="AA391" s="82"/>
      <c r="AB391" s="55"/>
      <c r="AC391" s="55"/>
      <c r="AD391" s="55"/>
      <c r="AE391" s="55"/>
      <c r="AF391" s="82"/>
      <c r="AG391" s="55"/>
      <c r="AH391" s="55"/>
      <c r="AI391" s="55"/>
      <c r="AJ391" s="55"/>
      <c r="AK391" s="82"/>
      <c r="AL391" s="55"/>
      <c r="AM391" s="55"/>
      <c r="AN391" s="55"/>
      <c r="AO391" s="55"/>
      <c r="AP391" s="82"/>
      <c r="AQ391" s="55"/>
      <c r="AR391" s="55"/>
      <c r="AS391" s="55"/>
      <c r="AT391" s="55"/>
      <c r="AU391" s="82"/>
      <c r="AV391" s="55"/>
      <c r="AW391" s="55"/>
      <c r="AX391" s="55"/>
      <c r="AY391" s="55"/>
      <c r="AZ391" s="82"/>
      <c r="BA391" s="55"/>
      <c r="BB391" s="55"/>
      <c r="BC391" s="55"/>
      <c r="BD391" s="55"/>
      <c r="BE391" s="82"/>
      <c r="BF391" s="55"/>
      <c r="BG391" s="55"/>
      <c r="BH391" s="55"/>
      <c r="BI391" s="55"/>
      <c r="BJ391" s="82"/>
      <c r="BK391" s="55"/>
      <c r="BL391" s="55"/>
      <c r="BM391" s="55"/>
      <c r="BN391" s="55"/>
      <c r="BO391" s="82"/>
      <c r="BP391" s="55"/>
      <c r="BQ391" s="55"/>
      <c r="BR391" s="55"/>
      <c r="BS391" s="55"/>
      <c r="BT391" s="82"/>
      <c r="BU391" s="55"/>
      <c r="BV391" s="55"/>
      <c r="BW391" s="55"/>
      <c r="BX391" s="55"/>
      <c r="BY391" s="82"/>
      <c r="BZ391" s="55"/>
      <c r="CA391" s="55"/>
      <c r="CB391" s="55"/>
      <c r="CC391" s="55"/>
      <c r="CD391" s="82"/>
      <c r="CE391" s="55"/>
      <c r="CF391" s="55"/>
      <c r="CG391" s="55"/>
      <c r="CH391" s="55"/>
      <c r="CI391" s="181">
        <f t="shared" si="929"/>
        <v>0</v>
      </c>
      <c r="CJ391" s="180">
        <f t="shared" si="930"/>
        <v>0</v>
      </c>
      <c r="CK391" s="180">
        <f t="shared" si="931"/>
        <v>0</v>
      </c>
      <c r="CL391" s="180">
        <f t="shared" si="932"/>
        <v>0</v>
      </c>
      <c r="CM391" s="180">
        <f t="shared" si="933"/>
        <v>0</v>
      </c>
      <c r="CN391" s="181">
        <f t="shared" si="872"/>
        <v>0</v>
      </c>
      <c r="CO391" s="180">
        <f t="shared" si="873"/>
        <v>0</v>
      </c>
      <c r="CP391" s="180">
        <f t="shared" si="874"/>
        <v>0</v>
      </c>
      <c r="CQ391" s="180">
        <f t="shared" si="875"/>
        <v>0</v>
      </c>
      <c r="CR391" s="180">
        <f t="shared" si="876"/>
        <v>0</v>
      </c>
      <c r="CS391" s="273">
        <f t="shared" si="882"/>
        <v>0</v>
      </c>
      <c r="CT391" s="471"/>
    </row>
    <row r="392" spans="1:98" s="4" customFormat="1" ht="409.5" customHeight="1" x14ac:dyDescent="0.3">
      <c r="A392" s="475" t="s">
        <v>1452</v>
      </c>
      <c r="B392" s="498" t="s">
        <v>799</v>
      </c>
      <c r="C392" s="498" t="s">
        <v>1393</v>
      </c>
      <c r="D392" s="476" t="s">
        <v>1159</v>
      </c>
      <c r="E392" s="477" t="s">
        <v>258</v>
      </c>
      <c r="F392" s="500" t="s">
        <v>800</v>
      </c>
      <c r="G392" s="477" t="s">
        <v>117</v>
      </c>
      <c r="H392" s="528"/>
      <c r="I392" s="477" t="s">
        <v>118</v>
      </c>
      <c r="J392" s="630" t="s">
        <v>118</v>
      </c>
      <c r="K392" s="517" t="s">
        <v>118</v>
      </c>
      <c r="L392" s="630" t="s">
        <v>118</v>
      </c>
      <c r="M392" s="702" t="s">
        <v>118</v>
      </c>
      <c r="N392" s="599"/>
      <c r="O392" s="523" t="s">
        <v>1718</v>
      </c>
      <c r="P392" s="715"/>
      <c r="Q392" s="477" t="s">
        <v>118</v>
      </c>
      <c r="R392" s="477" t="s">
        <v>118</v>
      </c>
      <c r="S392" s="477" t="s">
        <v>118</v>
      </c>
      <c r="T392" s="477" t="s">
        <v>118</v>
      </c>
      <c r="U392" s="477" t="s">
        <v>118</v>
      </c>
      <c r="V392" s="477" t="s">
        <v>118</v>
      </c>
      <c r="W392" s="477" t="s">
        <v>118</v>
      </c>
      <c r="X392" s="477" t="s">
        <v>118</v>
      </c>
      <c r="Y392" s="477" t="s">
        <v>118</v>
      </c>
      <c r="Z392" s="477" t="s">
        <v>118</v>
      </c>
      <c r="AA392" s="82"/>
      <c r="AB392" s="55"/>
      <c r="AC392" s="55"/>
      <c r="AD392" s="55"/>
      <c r="AE392" s="55"/>
      <c r="AF392" s="82"/>
      <c r="AG392" s="55"/>
      <c r="AH392" s="55"/>
      <c r="AI392" s="55"/>
      <c r="AJ392" s="55"/>
      <c r="AK392" s="82"/>
      <c r="AL392" s="55"/>
      <c r="AM392" s="55"/>
      <c r="AN392" s="55"/>
      <c r="AO392" s="55"/>
      <c r="AP392" s="82"/>
      <c r="AQ392" s="55"/>
      <c r="AR392" s="55"/>
      <c r="AS392" s="55"/>
      <c r="AT392" s="55"/>
      <c r="AU392" s="82"/>
      <c r="AV392" s="55"/>
      <c r="AW392" s="55"/>
      <c r="AX392" s="55"/>
      <c r="AY392" s="55"/>
      <c r="AZ392" s="82"/>
      <c r="BA392" s="55"/>
      <c r="BB392" s="55"/>
      <c r="BC392" s="55"/>
      <c r="BD392" s="55"/>
      <c r="BE392" s="82"/>
      <c r="BF392" s="55"/>
      <c r="BG392" s="55"/>
      <c r="BH392" s="55"/>
      <c r="BI392" s="55"/>
      <c r="BJ392" s="82"/>
      <c r="BK392" s="55"/>
      <c r="BL392" s="55"/>
      <c r="BM392" s="55"/>
      <c r="BN392" s="55"/>
      <c r="BO392" s="82"/>
      <c r="BP392" s="55"/>
      <c r="BQ392" s="55"/>
      <c r="BR392" s="55"/>
      <c r="BS392" s="55"/>
      <c r="BT392" s="82"/>
      <c r="BU392" s="55"/>
      <c r="BV392" s="55"/>
      <c r="BW392" s="55"/>
      <c r="BX392" s="55"/>
      <c r="BY392" s="82"/>
      <c r="BZ392" s="55"/>
      <c r="CA392" s="55"/>
      <c r="CB392" s="55"/>
      <c r="CC392" s="55"/>
      <c r="CD392" s="82"/>
      <c r="CE392" s="55"/>
      <c r="CF392" s="55"/>
      <c r="CG392" s="55"/>
      <c r="CH392" s="55"/>
      <c r="CI392" s="501">
        <f t="shared" si="929"/>
        <v>0</v>
      </c>
      <c r="CJ392" s="492">
        <f t="shared" si="930"/>
        <v>0</v>
      </c>
      <c r="CK392" s="492">
        <f t="shared" si="931"/>
        <v>0</v>
      </c>
      <c r="CL392" s="492">
        <f t="shared" si="932"/>
        <v>0</v>
      </c>
      <c r="CM392" s="492">
        <f t="shared" si="933"/>
        <v>0</v>
      </c>
      <c r="CN392" s="501">
        <f t="shared" si="872"/>
        <v>0</v>
      </c>
      <c r="CO392" s="492">
        <f t="shared" si="873"/>
        <v>0</v>
      </c>
      <c r="CP392" s="492">
        <f t="shared" si="874"/>
        <v>0</v>
      </c>
      <c r="CQ392" s="492">
        <f t="shared" si="875"/>
        <v>0</v>
      </c>
      <c r="CR392" s="492">
        <f t="shared" si="876"/>
        <v>0</v>
      </c>
      <c r="CS392" s="501">
        <f t="shared" si="882"/>
        <v>0</v>
      </c>
      <c r="CT392" s="14"/>
    </row>
    <row r="393" spans="1:98" s="4" customFormat="1" ht="149.25" customHeight="1" x14ac:dyDescent="0.3">
      <c r="A393" s="475" t="s">
        <v>1453</v>
      </c>
      <c r="B393" s="498" t="s">
        <v>801</v>
      </c>
      <c r="C393" s="498" t="s">
        <v>1394</v>
      </c>
      <c r="D393" s="476" t="s">
        <v>1159</v>
      </c>
      <c r="E393" s="477" t="s">
        <v>52</v>
      </c>
      <c r="F393" s="500" t="s">
        <v>802</v>
      </c>
      <c r="G393" s="477" t="s">
        <v>117</v>
      </c>
      <c r="H393" s="528"/>
      <c r="I393" s="477" t="s">
        <v>118</v>
      </c>
      <c r="J393" s="630" t="s">
        <v>118</v>
      </c>
      <c r="K393" s="517" t="s">
        <v>118</v>
      </c>
      <c r="L393" s="630" t="s">
        <v>118</v>
      </c>
      <c r="M393" s="702" t="s">
        <v>118</v>
      </c>
      <c r="N393" s="611" t="s">
        <v>1609</v>
      </c>
      <c r="O393" s="629" t="s">
        <v>1701</v>
      </c>
      <c r="P393" s="542"/>
      <c r="Q393" s="477" t="s">
        <v>118</v>
      </c>
      <c r="R393" s="477" t="s">
        <v>118</v>
      </c>
      <c r="S393" s="477" t="s">
        <v>118</v>
      </c>
      <c r="T393" s="477" t="s">
        <v>118</v>
      </c>
      <c r="U393" s="477" t="s">
        <v>118</v>
      </c>
      <c r="V393" s="477" t="s">
        <v>118</v>
      </c>
      <c r="W393" s="477" t="s">
        <v>118</v>
      </c>
      <c r="X393" s="477" t="s">
        <v>118</v>
      </c>
      <c r="Y393" s="477" t="s">
        <v>118</v>
      </c>
      <c r="Z393" s="477" t="s">
        <v>118</v>
      </c>
      <c r="AA393" s="82">
        <f t="shared" ref="AA393:AA395" si="934">SUM(AB393:AE393)</f>
        <v>0</v>
      </c>
      <c r="AB393" s="55"/>
      <c r="AC393" s="55"/>
      <c r="AD393" s="55"/>
      <c r="AE393" s="55"/>
      <c r="AF393" s="82">
        <f t="shared" ref="AF393:AF395" si="935">SUM(AG393:AJ393)</f>
        <v>0</v>
      </c>
      <c r="AG393" s="55"/>
      <c r="AH393" s="55"/>
      <c r="AI393" s="55"/>
      <c r="AJ393" s="55"/>
      <c r="AK393" s="82">
        <f>SUM(AL393:AO393)</f>
        <v>0</v>
      </c>
      <c r="AL393" s="55"/>
      <c r="AM393" s="55"/>
      <c r="AN393" s="55"/>
      <c r="AO393" s="55"/>
      <c r="AP393" s="82">
        <f t="shared" ref="AP393:AP395" si="936">SUM(AQ393:AT393)</f>
        <v>0</v>
      </c>
      <c r="AQ393" s="55"/>
      <c r="AR393" s="55"/>
      <c r="AS393" s="55"/>
      <c r="AT393" s="55"/>
      <c r="AU393" s="82">
        <f t="shared" ref="AU393:AU395" si="937">SUM(AV393:AY393)</f>
        <v>0</v>
      </c>
      <c r="AV393" s="55"/>
      <c r="AW393" s="55"/>
      <c r="AX393" s="55"/>
      <c r="AY393" s="55"/>
      <c r="AZ393" s="82">
        <f t="shared" ref="AZ393:AZ395" si="938">SUM(BA393:BD393)</f>
        <v>0</v>
      </c>
      <c r="BA393" s="55"/>
      <c r="BB393" s="55"/>
      <c r="BC393" s="55"/>
      <c r="BD393" s="55"/>
      <c r="BE393" s="82">
        <f t="shared" ref="BE393:BE395" si="939">SUM(BF393:BI393)</f>
        <v>0</v>
      </c>
      <c r="BF393" s="55"/>
      <c r="BG393" s="55"/>
      <c r="BH393" s="55"/>
      <c r="BI393" s="55"/>
      <c r="BJ393" s="82">
        <f t="shared" ref="BJ393:BJ395" si="940">SUM(BK393:BN393)</f>
        <v>0</v>
      </c>
      <c r="BK393" s="55"/>
      <c r="BL393" s="55"/>
      <c r="BM393" s="55"/>
      <c r="BN393" s="55"/>
      <c r="BO393" s="82">
        <f t="shared" ref="BO393:BO395" si="941">SUM(BP393:BS393)</f>
        <v>0</v>
      </c>
      <c r="BP393" s="55"/>
      <c r="BQ393" s="55"/>
      <c r="BR393" s="55"/>
      <c r="BS393" s="55"/>
      <c r="BT393" s="82">
        <f t="shared" ref="BT393:BT395" si="942">SUM(BU393:BX393)</f>
        <v>0</v>
      </c>
      <c r="BU393" s="55"/>
      <c r="BV393" s="55"/>
      <c r="BW393" s="55"/>
      <c r="BX393" s="55"/>
      <c r="BY393" s="82">
        <f t="shared" ref="BY393:BY395" si="943">SUM(BZ393:CC393)</f>
        <v>0</v>
      </c>
      <c r="BZ393" s="55"/>
      <c r="CA393" s="55"/>
      <c r="CB393" s="55"/>
      <c r="CC393" s="55"/>
      <c r="CD393" s="82">
        <f t="shared" ref="CD393:CD395" si="944">SUM(CE393:CH393)</f>
        <v>0</v>
      </c>
      <c r="CE393" s="55"/>
      <c r="CF393" s="55"/>
      <c r="CG393" s="55"/>
      <c r="CH393" s="55"/>
      <c r="CI393" s="501">
        <f t="shared" ref="CI393:CI400" si="945">AA393+AF393+AK393</f>
        <v>0</v>
      </c>
      <c r="CJ393" s="492">
        <f t="shared" ref="CJ393:CJ400" si="946">AB393+AG393+AL393</f>
        <v>0</v>
      </c>
      <c r="CK393" s="492">
        <f t="shared" ref="CK393:CK400" si="947">AC393+AH393+AM393</f>
        <v>0</v>
      </c>
      <c r="CL393" s="492">
        <f t="shared" ref="CL393:CL400" si="948">AD393+AI393+AN393</f>
        <v>0</v>
      </c>
      <c r="CM393" s="492">
        <f t="shared" ref="CM393:CM400" si="949">AE393+AJ393+AO393</f>
        <v>0</v>
      </c>
      <c r="CN393" s="501">
        <f t="shared" si="872"/>
        <v>0</v>
      </c>
      <c r="CO393" s="492">
        <f t="shared" si="873"/>
        <v>0</v>
      </c>
      <c r="CP393" s="492">
        <f t="shared" si="874"/>
        <v>0</v>
      </c>
      <c r="CQ393" s="492">
        <f t="shared" si="875"/>
        <v>0</v>
      </c>
      <c r="CR393" s="492">
        <f t="shared" si="876"/>
        <v>0</v>
      </c>
      <c r="CS393" s="501">
        <f t="shared" si="882"/>
        <v>0</v>
      </c>
      <c r="CT393" s="14"/>
    </row>
    <row r="394" spans="1:98" s="4" customFormat="1" ht="96" customHeight="1" x14ac:dyDescent="0.3">
      <c r="A394" s="195" t="s">
        <v>1455</v>
      </c>
      <c r="B394" s="182" t="s">
        <v>1164</v>
      </c>
      <c r="C394" s="182" t="s">
        <v>1395</v>
      </c>
      <c r="D394" s="193" t="s">
        <v>1165</v>
      </c>
      <c r="E394" s="50">
        <v>2020</v>
      </c>
      <c r="F394" s="74" t="s">
        <v>803</v>
      </c>
      <c r="G394" s="50" t="s">
        <v>117</v>
      </c>
      <c r="H394" s="528"/>
      <c r="I394" s="50"/>
      <c r="J394" s="630" t="s">
        <v>118</v>
      </c>
      <c r="K394" s="716" t="s">
        <v>118</v>
      </c>
      <c r="L394" s="630"/>
      <c r="M394" s="702"/>
      <c r="N394" s="916" t="s">
        <v>1610</v>
      </c>
      <c r="O394" s="714"/>
      <c r="P394" s="568"/>
      <c r="Q394" s="50"/>
      <c r="R394" s="50"/>
      <c r="S394" s="50"/>
      <c r="T394" s="50"/>
      <c r="U394" s="50"/>
      <c r="V394" s="50"/>
      <c r="W394" s="50"/>
      <c r="X394" s="50"/>
      <c r="Y394" s="50"/>
      <c r="Z394" s="50"/>
      <c r="AA394" s="82">
        <f t="shared" si="934"/>
        <v>0</v>
      </c>
      <c r="AB394" s="55"/>
      <c r="AC394" s="55"/>
      <c r="AD394" s="55"/>
      <c r="AE394" s="55"/>
      <c r="AF394" s="82">
        <f t="shared" si="935"/>
        <v>0</v>
      </c>
      <c r="AG394" s="55"/>
      <c r="AH394" s="55"/>
      <c r="AI394" s="55"/>
      <c r="AJ394" s="55"/>
      <c r="AK394" s="82">
        <f>SUM(AL394:AO394)</f>
        <v>0</v>
      </c>
      <c r="AL394" s="55"/>
      <c r="AM394" s="55"/>
      <c r="AN394" s="55"/>
      <c r="AO394" s="55"/>
      <c r="AP394" s="82">
        <f t="shared" si="936"/>
        <v>0</v>
      </c>
      <c r="AQ394" s="55"/>
      <c r="AR394" s="55"/>
      <c r="AS394" s="55"/>
      <c r="AT394" s="55"/>
      <c r="AU394" s="82">
        <f t="shared" si="937"/>
        <v>0</v>
      </c>
      <c r="AV394" s="55"/>
      <c r="AW394" s="55"/>
      <c r="AX394" s="55"/>
      <c r="AY394" s="55"/>
      <c r="AZ394" s="82">
        <f t="shared" si="938"/>
        <v>0</v>
      </c>
      <c r="BA394" s="55"/>
      <c r="BB394" s="55"/>
      <c r="BC394" s="55"/>
      <c r="BD394" s="55"/>
      <c r="BE394" s="82">
        <f t="shared" si="939"/>
        <v>0</v>
      </c>
      <c r="BF394" s="55"/>
      <c r="BG394" s="55"/>
      <c r="BH394" s="55"/>
      <c r="BI394" s="55"/>
      <c r="BJ394" s="82">
        <f t="shared" si="940"/>
        <v>0</v>
      </c>
      <c r="BK394" s="55"/>
      <c r="BL394" s="55"/>
      <c r="BM394" s="55"/>
      <c r="BN394" s="55"/>
      <c r="BO394" s="82">
        <f t="shared" si="941"/>
        <v>0</v>
      </c>
      <c r="BP394" s="55"/>
      <c r="BQ394" s="55"/>
      <c r="BR394" s="55"/>
      <c r="BS394" s="55"/>
      <c r="BT394" s="82">
        <f t="shared" si="942"/>
        <v>0</v>
      </c>
      <c r="BU394" s="55"/>
      <c r="BV394" s="55"/>
      <c r="BW394" s="55"/>
      <c r="BX394" s="55"/>
      <c r="BY394" s="82">
        <f t="shared" si="943"/>
        <v>0</v>
      </c>
      <c r="BZ394" s="55"/>
      <c r="CA394" s="55"/>
      <c r="CB394" s="55"/>
      <c r="CC394" s="55"/>
      <c r="CD394" s="82">
        <f t="shared" si="944"/>
        <v>0</v>
      </c>
      <c r="CE394" s="55"/>
      <c r="CF394" s="55"/>
      <c r="CG394" s="55"/>
      <c r="CH394" s="55"/>
      <c r="CI394" s="181">
        <f t="shared" si="945"/>
        <v>0</v>
      </c>
      <c r="CJ394" s="180">
        <f t="shared" si="946"/>
        <v>0</v>
      </c>
      <c r="CK394" s="180">
        <f t="shared" si="947"/>
        <v>0</v>
      </c>
      <c r="CL394" s="180">
        <f t="shared" si="948"/>
        <v>0</v>
      </c>
      <c r="CM394" s="180">
        <f t="shared" si="949"/>
        <v>0</v>
      </c>
      <c r="CN394" s="181">
        <f t="shared" si="872"/>
        <v>0</v>
      </c>
      <c r="CO394" s="180">
        <f t="shared" si="873"/>
        <v>0</v>
      </c>
      <c r="CP394" s="180">
        <f t="shared" si="874"/>
        <v>0</v>
      </c>
      <c r="CQ394" s="180">
        <f t="shared" si="875"/>
        <v>0</v>
      </c>
      <c r="CR394" s="180">
        <f t="shared" si="876"/>
        <v>0</v>
      </c>
      <c r="CS394" s="273">
        <f t="shared" si="882"/>
        <v>0</v>
      </c>
      <c r="CT394" s="14"/>
    </row>
    <row r="395" spans="1:98" s="4" customFormat="1" ht="240" customHeight="1" x14ac:dyDescent="0.3">
      <c r="A395" s="195" t="s">
        <v>1454</v>
      </c>
      <c r="B395" s="182" t="s">
        <v>804</v>
      </c>
      <c r="C395" s="182" t="s">
        <v>1396</v>
      </c>
      <c r="D395" s="193" t="s">
        <v>1162</v>
      </c>
      <c r="E395" s="50">
        <v>2020</v>
      </c>
      <c r="F395" s="74" t="s">
        <v>805</v>
      </c>
      <c r="G395" s="50" t="s">
        <v>117</v>
      </c>
      <c r="H395" s="528"/>
      <c r="I395" s="50"/>
      <c r="J395" s="630" t="s">
        <v>118</v>
      </c>
      <c r="K395" s="717"/>
      <c r="L395" s="630"/>
      <c r="M395" s="702"/>
      <c r="N395" s="917"/>
      <c r="O395" s="715"/>
      <c r="P395" s="551"/>
      <c r="Q395" s="50"/>
      <c r="R395" s="50"/>
      <c r="S395" s="50"/>
      <c r="T395" s="50"/>
      <c r="U395" s="50"/>
      <c r="V395" s="50"/>
      <c r="W395" s="50"/>
      <c r="X395" s="50"/>
      <c r="Y395" s="50"/>
      <c r="Z395" s="50"/>
      <c r="AA395" s="82">
        <f t="shared" si="934"/>
        <v>0</v>
      </c>
      <c r="AB395" s="55"/>
      <c r="AC395" s="55"/>
      <c r="AD395" s="55"/>
      <c r="AE395" s="55"/>
      <c r="AF395" s="82">
        <f t="shared" si="935"/>
        <v>0</v>
      </c>
      <c r="AG395" s="55"/>
      <c r="AH395" s="55"/>
      <c r="AI395" s="55"/>
      <c r="AJ395" s="55"/>
      <c r="AK395" s="82">
        <f>SUM(AL395:AO395)</f>
        <v>0</v>
      </c>
      <c r="AL395" s="55"/>
      <c r="AM395" s="55"/>
      <c r="AN395" s="55"/>
      <c r="AO395" s="55"/>
      <c r="AP395" s="82">
        <f t="shared" si="936"/>
        <v>0</v>
      </c>
      <c r="AQ395" s="55"/>
      <c r="AR395" s="55"/>
      <c r="AS395" s="55"/>
      <c r="AT395" s="55"/>
      <c r="AU395" s="82">
        <f t="shared" si="937"/>
        <v>0</v>
      </c>
      <c r="AV395" s="55"/>
      <c r="AW395" s="55"/>
      <c r="AX395" s="55"/>
      <c r="AY395" s="55"/>
      <c r="AZ395" s="82">
        <f t="shared" si="938"/>
        <v>0</v>
      </c>
      <c r="BA395" s="55"/>
      <c r="BB395" s="55"/>
      <c r="BC395" s="55"/>
      <c r="BD395" s="55"/>
      <c r="BE395" s="82">
        <f t="shared" si="939"/>
        <v>0</v>
      </c>
      <c r="BF395" s="55"/>
      <c r="BG395" s="55"/>
      <c r="BH395" s="55"/>
      <c r="BI395" s="55"/>
      <c r="BJ395" s="82">
        <f t="shared" si="940"/>
        <v>0</v>
      </c>
      <c r="BK395" s="55"/>
      <c r="BL395" s="55"/>
      <c r="BM395" s="55"/>
      <c r="BN395" s="55"/>
      <c r="BO395" s="82">
        <f t="shared" si="941"/>
        <v>0</v>
      </c>
      <c r="BP395" s="55"/>
      <c r="BQ395" s="55"/>
      <c r="BR395" s="55"/>
      <c r="BS395" s="55"/>
      <c r="BT395" s="82">
        <f t="shared" si="942"/>
        <v>0</v>
      </c>
      <c r="BU395" s="55"/>
      <c r="BV395" s="55"/>
      <c r="BW395" s="55"/>
      <c r="BX395" s="55"/>
      <c r="BY395" s="82">
        <f t="shared" si="943"/>
        <v>0</v>
      </c>
      <c r="BZ395" s="55"/>
      <c r="CA395" s="55"/>
      <c r="CB395" s="55"/>
      <c r="CC395" s="55"/>
      <c r="CD395" s="82">
        <f t="shared" si="944"/>
        <v>0</v>
      </c>
      <c r="CE395" s="55"/>
      <c r="CF395" s="55"/>
      <c r="CG395" s="55"/>
      <c r="CH395" s="55"/>
      <c r="CI395" s="181">
        <f t="shared" si="945"/>
        <v>0</v>
      </c>
      <c r="CJ395" s="180">
        <f t="shared" si="946"/>
        <v>0</v>
      </c>
      <c r="CK395" s="180">
        <f t="shared" si="947"/>
        <v>0</v>
      </c>
      <c r="CL395" s="180">
        <f t="shared" si="948"/>
        <v>0</v>
      </c>
      <c r="CM395" s="180">
        <f t="shared" si="949"/>
        <v>0</v>
      </c>
      <c r="CN395" s="181">
        <f t="shared" si="872"/>
        <v>0</v>
      </c>
      <c r="CO395" s="180">
        <f t="shared" si="873"/>
        <v>0</v>
      </c>
      <c r="CP395" s="180">
        <f t="shared" si="874"/>
        <v>0</v>
      </c>
      <c r="CQ395" s="180">
        <f t="shared" si="875"/>
        <v>0</v>
      </c>
      <c r="CR395" s="180">
        <f t="shared" si="876"/>
        <v>0</v>
      </c>
      <c r="CS395" s="273">
        <f t="shared" si="882"/>
        <v>0</v>
      </c>
      <c r="CT395" s="14"/>
    </row>
    <row r="396" spans="1:98" s="4" customFormat="1" ht="72" customHeight="1" x14ac:dyDescent="0.3">
      <c r="A396" s="759" t="s">
        <v>1377</v>
      </c>
      <c r="B396" s="859" t="s">
        <v>806</v>
      </c>
      <c r="C396" s="506" t="s">
        <v>1397</v>
      </c>
      <c r="D396" s="503" t="s">
        <v>352</v>
      </c>
      <c r="E396" s="477" t="s">
        <v>91</v>
      </c>
      <c r="F396" s="61" t="s">
        <v>1116</v>
      </c>
      <c r="G396" s="477" t="s">
        <v>117</v>
      </c>
      <c r="H396" s="528"/>
      <c r="I396" s="477"/>
      <c r="J396" s="630" t="s">
        <v>118</v>
      </c>
      <c r="K396" s="477" t="s">
        <v>140</v>
      </c>
      <c r="L396" s="630" t="s">
        <v>118</v>
      </c>
      <c r="M396" s="702" t="s">
        <v>118</v>
      </c>
      <c r="N396" s="836" t="s">
        <v>1550</v>
      </c>
      <c r="O396" s="884"/>
      <c r="P396" s="539"/>
      <c r="Q396" s="477"/>
      <c r="R396" s="477"/>
      <c r="S396" s="477"/>
      <c r="T396" s="477"/>
      <c r="U396" s="477"/>
      <c r="V396" s="477"/>
      <c r="W396" s="477"/>
      <c r="X396" s="477"/>
      <c r="Y396" s="477"/>
      <c r="Z396" s="477"/>
      <c r="AA396" s="82"/>
      <c r="AB396" s="55"/>
      <c r="AC396" s="55"/>
      <c r="AD396" s="55"/>
      <c r="AE396" s="55"/>
      <c r="AF396" s="82">
        <f>SUM(AG396:AJ396)</f>
        <v>0</v>
      </c>
      <c r="AG396" s="55"/>
      <c r="AH396" s="55"/>
      <c r="AI396" s="55"/>
      <c r="AJ396" s="55"/>
      <c r="AK396" s="82">
        <f>SUM(AL396:AO396)</f>
        <v>0</v>
      </c>
      <c r="AL396" s="55"/>
      <c r="AM396" s="55"/>
      <c r="AN396" s="55"/>
      <c r="AO396" s="55"/>
      <c r="AP396" s="82">
        <f>SUM(AQ396:AT396)</f>
        <v>0</v>
      </c>
      <c r="AQ396" s="55"/>
      <c r="AR396" s="55"/>
      <c r="AS396" s="55"/>
      <c r="AT396" s="55"/>
      <c r="AU396" s="82">
        <f>SUM(AV396:AY396)</f>
        <v>0</v>
      </c>
      <c r="AV396" s="55"/>
      <c r="AW396" s="55"/>
      <c r="AX396" s="55"/>
      <c r="AY396" s="55"/>
      <c r="AZ396" s="82">
        <f>SUM(BA396:BD396)</f>
        <v>0</v>
      </c>
      <c r="BA396" s="55"/>
      <c r="BB396" s="55"/>
      <c r="BC396" s="55"/>
      <c r="BD396" s="55"/>
      <c r="BE396" s="82">
        <f>SUM(BF396:BI396)</f>
        <v>0</v>
      </c>
      <c r="BF396" s="55"/>
      <c r="BG396" s="55"/>
      <c r="BH396" s="55"/>
      <c r="BI396" s="55"/>
      <c r="BJ396" s="82">
        <f>SUM(BK396:BN396)</f>
        <v>0</v>
      </c>
      <c r="BK396" s="55"/>
      <c r="BL396" s="55"/>
      <c r="BM396" s="55"/>
      <c r="BN396" s="55"/>
      <c r="BO396" s="82">
        <f>SUM(BP396:BS396)</f>
        <v>0</v>
      </c>
      <c r="BP396" s="55"/>
      <c r="BQ396" s="55"/>
      <c r="BR396" s="55"/>
      <c r="BS396" s="55"/>
      <c r="BT396" s="82">
        <f>SUM(BU396:BX396)</f>
        <v>0</v>
      </c>
      <c r="BU396" s="55"/>
      <c r="BV396" s="55"/>
      <c r="BW396" s="55"/>
      <c r="BX396" s="55"/>
      <c r="BY396" s="82">
        <f>SUM(BZ396:CC396)</f>
        <v>0</v>
      </c>
      <c r="BZ396" s="55"/>
      <c r="CA396" s="55"/>
      <c r="CB396" s="55"/>
      <c r="CC396" s="55"/>
      <c r="CD396" s="82">
        <f>SUM(CE396:CH396)</f>
        <v>0</v>
      </c>
      <c r="CE396" s="55"/>
      <c r="CF396" s="55"/>
      <c r="CG396" s="55"/>
      <c r="CH396" s="55"/>
      <c r="CI396" s="501">
        <f t="shared" si="945"/>
        <v>0</v>
      </c>
      <c r="CJ396" s="492">
        <f t="shared" si="946"/>
        <v>0</v>
      </c>
      <c r="CK396" s="492">
        <f t="shared" si="947"/>
        <v>0</v>
      </c>
      <c r="CL396" s="492">
        <f t="shared" si="948"/>
        <v>0</v>
      </c>
      <c r="CM396" s="492">
        <f t="shared" si="949"/>
        <v>0</v>
      </c>
      <c r="CN396" s="501">
        <f t="shared" si="872"/>
        <v>0</v>
      </c>
      <c r="CO396" s="492">
        <f t="shared" si="873"/>
        <v>0</v>
      </c>
      <c r="CP396" s="492">
        <f t="shared" si="874"/>
        <v>0</v>
      </c>
      <c r="CQ396" s="492">
        <f t="shared" si="875"/>
        <v>0</v>
      </c>
      <c r="CR396" s="492">
        <f t="shared" si="876"/>
        <v>0</v>
      </c>
      <c r="CS396" s="501">
        <f t="shared" si="882"/>
        <v>0</v>
      </c>
      <c r="CT396" s="471"/>
    </row>
    <row r="397" spans="1:98" s="4" customFormat="1" ht="72" customHeight="1" x14ac:dyDescent="0.3">
      <c r="A397" s="759"/>
      <c r="B397" s="861"/>
      <c r="C397" s="506" t="s">
        <v>1398</v>
      </c>
      <c r="D397" s="503" t="s">
        <v>352</v>
      </c>
      <c r="E397" s="477" t="s">
        <v>91</v>
      </c>
      <c r="F397" s="61" t="s">
        <v>1116</v>
      </c>
      <c r="G397" s="477" t="s">
        <v>117</v>
      </c>
      <c r="H397" s="528"/>
      <c r="I397" s="477"/>
      <c r="J397" s="630" t="s">
        <v>118</v>
      </c>
      <c r="K397" s="477" t="s">
        <v>140</v>
      </c>
      <c r="L397" s="630" t="s">
        <v>118</v>
      </c>
      <c r="M397" s="702" t="s">
        <v>118</v>
      </c>
      <c r="N397" s="837"/>
      <c r="O397" s="886"/>
      <c r="P397" s="540"/>
      <c r="Q397" s="477"/>
      <c r="R397" s="477"/>
      <c r="S397" s="477"/>
      <c r="T397" s="477"/>
      <c r="U397" s="477"/>
      <c r="V397" s="477"/>
      <c r="W397" s="477"/>
      <c r="X397" s="477"/>
      <c r="Y397" s="477"/>
      <c r="Z397" s="477"/>
      <c r="AA397" s="82"/>
      <c r="AB397" s="55"/>
      <c r="AC397" s="55"/>
      <c r="AD397" s="55"/>
      <c r="AE397" s="55"/>
      <c r="AF397" s="82">
        <f>SUM(AG397:AJ397)</f>
        <v>0</v>
      </c>
      <c r="AG397" s="55"/>
      <c r="AH397" s="55"/>
      <c r="AI397" s="55"/>
      <c r="AJ397" s="55"/>
      <c r="AK397" s="82">
        <f t="shared" ref="AK397:AK400" si="950">SUM(AL397:AO397)</f>
        <v>0</v>
      </c>
      <c r="AL397" s="55"/>
      <c r="AM397" s="55"/>
      <c r="AN397" s="55"/>
      <c r="AO397" s="55"/>
      <c r="AP397" s="82">
        <f>SUM(AQ397:AT397)</f>
        <v>0</v>
      </c>
      <c r="AQ397" s="55"/>
      <c r="AR397" s="55"/>
      <c r="AS397" s="55"/>
      <c r="AT397" s="55"/>
      <c r="AU397" s="82">
        <f>SUM(AV397:AY397)</f>
        <v>0</v>
      </c>
      <c r="AV397" s="55"/>
      <c r="AW397" s="55"/>
      <c r="AX397" s="55"/>
      <c r="AY397" s="55"/>
      <c r="AZ397" s="82">
        <f>SUM(BA397:BD397)</f>
        <v>0</v>
      </c>
      <c r="BA397" s="55"/>
      <c r="BB397" s="55"/>
      <c r="BC397" s="55"/>
      <c r="BD397" s="55"/>
      <c r="BE397" s="82">
        <f>SUM(BF397:BI397)</f>
        <v>0</v>
      </c>
      <c r="BF397" s="55"/>
      <c r="BG397" s="55"/>
      <c r="BH397" s="55"/>
      <c r="BI397" s="55"/>
      <c r="BJ397" s="82">
        <f>SUM(BK397:BN397)</f>
        <v>0</v>
      </c>
      <c r="BK397" s="55"/>
      <c r="BL397" s="55"/>
      <c r="BM397" s="55"/>
      <c r="BN397" s="55"/>
      <c r="BO397" s="82">
        <f>SUM(BP397:BS397)</f>
        <v>0</v>
      </c>
      <c r="BP397" s="55"/>
      <c r="BQ397" s="55"/>
      <c r="BR397" s="55"/>
      <c r="BS397" s="55"/>
      <c r="BT397" s="82">
        <f>SUM(BU397:BX397)</f>
        <v>0</v>
      </c>
      <c r="BU397" s="55"/>
      <c r="BV397" s="55"/>
      <c r="BW397" s="55"/>
      <c r="BX397" s="55"/>
      <c r="BY397" s="82">
        <f>SUM(BZ397:CC397)</f>
        <v>0</v>
      </c>
      <c r="BZ397" s="55"/>
      <c r="CA397" s="55"/>
      <c r="CB397" s="55"/>
      <c r="CC397" s="55"/>
      <c r="CD397" s="82">
        <f>SUM(CE397:CH397)</f>
        <v>0</v>
      </c>
      <c r="CE397" s="55"/>
      <c r="CF397" s="55"/>
      <c r="CG397" s="55"/>
      <c r="CH397" s="55"/>
      <c r="CI397" s="501">
        <f t="shared" si="945"/>
        <v>0</v>
      </c>
      <c r="CJ397" s="492">
        <f t="shared" si="946"/>
        <v>0</v>
      </c>
      <c r="CK397" s="492">
        <f t="shared" si="947"/>
        <v>0</v>
      </c>
      <c r="CL397" s="492">
        <f t="shared" si="948"/>
        <v>0</v>
      </c>
      <c r="CM397" s="492">
        <f t="shared" si="949"/>
        <v>0</v>
      </c>
      <c r="CN397" s="501">
        <f t="shared" si="872"/>
        <v>0</v>
      </c>
      <c r="CO397" s="492">
        <f t="shared" si="873"/>
        <v>0</v>
      </c>
      <c r="CP397" s="492">
        <f t="shared" si="874"/>
        <v>0</v>
      </c>
      <c r="CQ397" s="492">
        <f t="shared" si="875"/>
        <v>0</v>
      </c>
      <c r="CR397" s="492">
        <f t="shared" si="876"/>
        <v>0</v>
      </c>
      <c r="CS397" s="501">
        <f t="shared" si="882"/>
        <v>0</v>
      </c>
      <c r="CT397" s="14"/>
    </row>
    <row r="398" spans="1:98" s="4" customFormat="1" ht="72" customHeight="1" x14ac:dyDescent="0.3">
      <c r="A398" s="759" t="s">
        <v>1378</v>
      </c>
      <c r="B398" s="859" t="s">
        <v>807</v>
      </c>
      <c r="C398" s="506" t="s">
        <v>808</v>
      </c>
      <c r="D398" s="503" t="s">
        <v>809</v>
      </c>
      <c r="E398" s="477" t="s">
        <v>91</v>
      </c>
      <c r="F398" s="61" t="s">
        <v>1117</v>
      </c>
      <c r="G398" s="477" t="s">
        <v>117</v>
      </c>
      <c r="H398" s="528"/>
      <c r="I398" s="477"/>
      <c r="J398" s="630" t="s">
        <v>118</v>
      </c>
      <c r="K398" s="477" t="s">
        <v>140</v>
      </c>
      <c r="L398" s="630" t="s">
        <v>118</v>
      </c>
      <c r="M398" s="702" t="s">
        <v>118</v>
      </c>
      <c r="N398" s="837"/>
      <c r="O398" s="886"/>
      <c r="P398" s="540"/>
      <c r="Q398" s="477"/>
      <c r="R398" s="477"/>
      <c r="S398" s="477"/>
      <c r="T398" s="477"/>
      <c r="U398" s="477"/>
      <c r="V398" s="477"/>
      <c r="W398" s="477"/>
      <c r="X398" s="477"/>
      <c r="Y398" s="477"/>
      <c r="Z398" s="477"/>
      <c r="AA398" s="82"/>
      <c r="AB398" s="55"/>
      <c r="AC398" s="55"/>
      <c r="AD398" s="55"/>
      <c r="AE398" s="55"/>
      <c r="AF398" s="82">
        <f>SUM(AG398:AJ398)</f>
        <v>0</v>
      </c>
      <c r="AG398" s="55"/>
      <c r="AH398" s="55"/>
      <c r="AI398" s="55"/>
      <c r="AJ398" s="55"/>
      <c r="AK398" s="82">
        <f t="shared" si="950"/>
        <v>0</v>
      </c>
      <c r="AL398" s="55"/>
      <c r="AM398" s="55"/>
      <c r="AN398" s="55"/>
      <c r="AO398" s="55"/>
      <c r="AP398" s="82">
        <f>SUM(AQ398:AT398)</f>
        <v>0</v>
      </c>
      <c r="AQ398" s="55"/>
      <c r="AR398" s="55"/>
      <c r="AS398" s="55"/>
      <c r="AT398" s="55"/>
      <c r="AU398" s="82">
        <f>SUM(AV398:AY398)</f>
        <v>0</v>
      </c>
      <c r="AV398" s="55"/>
      <c r="AW398" s="55"/>
      <c r="AX398" s="55"/>
      <c r="AY398" s="55"/>
      <c r="AZ398" s="82">
        <f>SUM(BA398:BD398)</f>
        <v>0</v>
      </c>
      <c r="BA398" s="55"/>
      <c r="BB398" s="55"/>
      <c r="BC398" s="55"/>
      <c r="BD398" s="55"/>
      <c r="BE398" s="82">
        <f>SUM(BF398:BI398)</f>
        <v>0</v>
      </c>
      <c r="BF398" s="55"/>
      <c r="BG398" s="55"/>
      <c r="BH398" s="55"/>
      <c r="BI398" s="55"/>
      <c r="BJ398" s="82">
        <f>SUM(BK398:BN398)</f>
        <v>0</v>
      </c>
      <c r="BK398" s="55"/>
      <c r="BL398" s="55"/>
      <c r="BM398" s="55"/>
      <c r="BN398" s="55"/>
      <c r="BO398" s="82">
        <f>SUM(BP398:BS398)</f>
        <v>0</v>
      </c>
      <c r="BP398" s="55"/>
      <c r="BQ398" s="55"/>
      <c r="BR398" s="55"/>
      <c r="BS398" s="55"/>
      <c r="BT398" s="82">
        <f>SUM(BU398:BX398)</f>
        <v>0</v>
      </c>
      <c r="BU398" s="55"/>
      <c r="BV398" s="55"/>
      <c r="BW398" s="55"/>
      <c r="BX398" s="55"/>
      <c r="BY398" s="82">
        <f>SUM(BZ398:CC398)</f>
        <v>0</v>
      </c>
      <c r="BZ398" s="55"/>
      <c r="CA398" s="55"/>
      <c r="CB398" s="55"/>
      <c r="CC398" s="55"/>
      <c r="CD398" s="82">
        <f>SUM(CE398:CH398)</f>
        <v>0</v>
      </c>
      <c r="CE398" s="55"/>
      <c r="CF398" s="55"/>
      <c r="CG398" s="55"/>
      <c r="CH398" s="55"/>
      <c r="CI398" s="501">
        <f t="shared" si="945"/>
        <v>0</v>
      </c>
      <c r="CJ398" s="492">
        <f t="shared" si="946"/>
        <v>0</v>
      </c>
      <c r="CK398" s="492">
        <f t="shared" si="947"/>
        <v>0</v>
      </c>
      <c r="CL398" s="492">
        <f t="shared" si="948"/>
        <v>0</v>
      </c>
      <c r="CM398" s="492">
        <f t="shared" si="949"/>
        <v>0</v>
      </c>
      <c r="CN398" s="501">
        <f t="shared" si="872"/>
        <v>0</v>
      </c>
      <c r="CO398" s="492">
        <f t="shared" si="873"/>
        <v>0</v>
      </c>
      <c r="CP398" s="492">
        <f t="shared" si="874"/>
        <v>0</v>
      </c>
      <c r="CQ398" s="492">
        <f t="shared" si="875"/>
        <v>0</v>
      </c>
      <c r="CR398" s="492">
        <f t="shared" si="876"/>
        <v>0</v>
      </c>
      <c r="CS398" s="501">
        <f t="shared" si="882"/>
        <v>0</v>
      </c>
      <c r="CT398" s="14"/>
    </row>
    <row r="399" spans="1:98" s="4" customFormat="1" ht="72" customHeight="1" x14ac:dyDescent="0.3">
      <c r="A399" s="759"/>
      <c r="B399" s="861"/>
      <c r="C399" s="506" t="s">
        <v>1399</v>
      </c>
      <c r="D399" s="503" t="s">
        <v>352</v>
      </c>
      <c r="E399" s="477" t="s">
        <v>91</v>
      </c>
      <c r="F399" s="61" t="s">
        <v>1117</v>
      </c>
      <c r="G399" s="477" t="s">
        <v>117</v>
      </c>
      <c r="H399" s="528"/>
      <c r="I399" s="477"/>
      <c r="J399" s="630" t="s">
        <v>118</v>
      </c>
      <c r="K399" s="477" t="s">
        <v>140</v>
      </c>
      <c r="L399" s="630" t="s">
        <v>118</v>
      </c>
      <c r="M399" s="702" t="s">
        <v>118</v>
      </c>
      <c r="N399" s="837"/>
      <c r="O399" s="886"/>
      <c r="P399" s="540"/>
      <c r="Q399" s="477"/>
      <c r="R399" s="477"/>
      <c r="S399" s="477"/>
      <c r="T399" s="477"/>
      <c r="U399" s="477"/>
      <c r="V399" s="477"/>
      <c r="W399" s="477"/>
      <c r="X399" s="477"/>
      <c r="Y399" s="477"/>
      <c r="Z399" s="477"/>
      <c r="AA399" s="82"/>
      <c r="AB399" s="55"/>
      <c r="AC399" s="55"/>
      <c r="AD399" s="55"/>
      <c r="AE399" s="55"/>
      <c r="AF399" s="82">
        <f>SUM(AG399:AJ399)</f>
        <v>0</v>
      </c>
      <c r="AG399" s="55"/>
      <c r="AH399" s="55"/>
      <c r="AI399" s="55"/>
      <c r="AJ399" s="55"/>
      <c r="AK399" s="82">
        <f t="shared" si="950"/>
        <v>0</v>
      </c>
      <c r="AL399" s="55"/>
      <c r="AM399" s="55"/>
      <c r="AN399" s="55"/>
      <c r="AO399" s="55"/>
      <c r="AP399" s="82">
        <f>SUM(AQ399:AT399)</f>
        <v>0</v>
      </c>
      <c r="AQ399" s="55"/>
      <c r="AR399" s="55"/>
      <c r="AS399" s="55"/>
      <c r="AT399" s="55"/>
      <c r="AU399" s="82">
        <f>SUM(AV399:AY399)</f>
        <v>0</v>
      </c>
      <c r="AV399" s="55"/>
      <c r="AW399" s="55"/>
      <c r="AX399" s="55"/>
      <c r="AY399" s="55"/>
      <c r="AZ399" s="82">
        <f>SUM(BA399:BD399)</f>
        <v>0</v>
      </c>
      <c r="BA399" s="55"/>
      <c r="BB399" s="55"/>
      <c r="BC399" s="55"/>
      <c r="BD399" s="55"/>
      <c r="BE399" s="82">
        <f>SUM(BF399:BI399)</f>
        <v>0</v>
      </c>
      <c r="BF399" s="55"/>
      <c r="BG399" s="55"/>
      <c r="BH399" s="55"/>
      <c r="BI399" s="55"/>
      <c r="BJ399" s="82">
        <f>SUM(BK399:BN399)</f>
        <v>0</v>
      </c>
      <c r="BK399" s="55"/>
      <c r="BL399" s="55"/>
      <c r="BM399" s="55"/>
      <c r="BN399" s="55"/>
      <c r="BO399" s="82">
        <f>SUM(BP399:BS399)</f>
        <v>0</v>
      </c>
      <c r="BP399" s="55"/>
      <c r="BQ399" s="55"/>
      <c r="BR399" s="55"/>
      <c r="BS399" s="55"/>
      <c r="BT399" s="82">
        <f>SUM(BU399:BX399)</f>
        <v>0</v>
      </c>
      <c r="BU399" s="55"/>
      <c r="BV399" s="55"/>
      <c r="BW399" s="55"/>
      <c r="BX399" s="55"/>
      <c r="BY399" s="82">
        <f>SUM(BZ399:CC399)</f>
        <v>0</v>
      </c>
      <c r="BZ399" s="55"/>
      <c r="CA399" s="55"/>
      <c r="CB399" s="55"/>
      <c r="CC399" s="55"/>
      <c r="CD399" s="82">
        <f>SUM(CE399:CH399)</f>
        <v>0</v>
      </c>
      <c r="CE399" s="55"/>
      <c r="CF399" s="55"/>
      <c r="CG399" s="55"/>
      <c r="CH399" s="55"/>
      <c r="CI399" s="501">
        <f t="shared" si="945"/>
        <v>0</v>
      </c>
      <c r="CJ399" s="492">
        <f t="shared" si="946"/>
        <v>0</v>
      </c>
      <c r="CK399" s="492">
        <f t="shared" si="947"/>
        <v>0</v>
      </c>
      <c r="CL399" s="492">
        <f t="shared" si="948"/>
        <v>0</v>
      </c>
      <c r="CM399" s="492">
        <f t="shared" si="949"/>
        <v>0</v>
      </c>
      <c r="CN399" s="501">
        <f t="shared" si="872"/>
        <v>0</v>
      </c>
      <c r="CO399" s="492">
        <f t="shared" si="873"/>
        <v>0</v>
      </c>
      <c r="CP399" s="492">
        <f t="shared" si="874"/>
        <v>0</v>
      </c>
      <c r="CQ399" s="492">
        <f t="shared" si="875"/>
        <v>0</v>
      </c>
      <c r="CR399" s="492">
        <f t="shared" si="876"/>
        <v>0</v>
      </c>
      <c r="CS399" s="501">
        <f t="shared" si="882"/>
        <v>0</v>
      </c>
      <c r="CT399" s="14"/>
    </row>
    <row r="400" spans="1:98" s="4" customFormat="1" ht="72" customHeight="1" x14ac:dyDescent="0.3">
      <c r="A400" s="476" t="s">
        <v>1379</v>
      </c>
      <c r="B400" s="506" t="s">
        <v>810</v>
      </c>
      <c r="C400" s="506" t="s">
        <v>1400</v>
      </c>
      <c r="D400" s="503" t="s">
        <v>352</v>
      </c>
      <c r="E400" s="477" t="s">
        <v>91</v>
      </c>
      <c r="F400" s="61" t="s">
        <v>1118</v>
      </c>
      <c r="G400" s="477" t="s">
        <v>117</v>
      </c>
      <c r="H400" s="528"/>
      <c r="I400" s="477"/>
      <c r="J400" s="630" t="s">
        <v>118</v>
      </c>
      <c r="K400" s="477" t="s">
        <v>140</v>
      </c>
      <c r="L400" s="630" t="s">
        <v>118</v>
      </c>
      <c r="M400" s="702" t="s">
        <v>118</v>
      </c>
      <c r="N400" s="838"/>
      <c r="O400" s="885"/>
      <c r="P400" s="541"/>
      <c r="Q400" s="477"/>
      <c r="R400" s="477"/>
      <c r="S400" s="477"/>
      <c r="T400" s="477"/>
      <c r="U400" s="477"/>
      <c r="V400" s="477"/>
      <c r="W400" s="477"/>
      <c r="X400" s="477"/>
      <c r="Y400" s="477"/>
      <c r="Z400" s="477"/>
      <c r="AA400" s="82"/>
      <c r="AB400" s="55"/>
      <c r="AC400" s="55"/>
      <c r="AD400" s="55"/>
      <c r="AE400" s="55"/>
      <c r="AF400" s="82">
        <f>SUM(AG400:AJ400)</f>
        <v>0</v>
      </c>
      <c r="AG400" s="55"/>
      <c r="AH400" s="55"/>
      <c r="AI400" s="55"/>
      <c r="AJ400" s="55"/>
      <c r="AK400" s="82">
        <f t="shared" si="950"/>
        <v>0</v>
      </c>
      <c r="AL400" s="55"/>
      <c r="AM400" s="55"/>
      <c r="AN400" s="55"/>
      <c r="AO400" s="55"/>
      <c r="AP400" s="82">
        <f>SUM(AQ400:AT400)</f>
        <v>0</v>
      </c>
      <c r="AQ400" s="55"/>
      <c r="AR400" s="55"/>
      <c r="AS400" s="55"/>
      <c r="AT400" s="55"/>
      <c r="AU400" s="82">
        <f>SUM(AV400:AY400)</f>
        <v>0</v>
      </c>
      <c r="AV400" s="55"/>
      <c r="AW400" s="55"/>
      <c r="AX400" s="55"/>
      <c r="AY400" s="55"/>
      <c r="AZ400" s="82">
        <f>SUM(BA400:BD400)</f>
        <v>0</v>
      </c>
      <c r="BA400" s="55"/>
      <c r="BB400" s="55"/>
      <c r="BC400" s="55"/>
      <c r="BD400" s="55"/>
      <c r="BE400" s="82">
        <f>SUM(BF400:BI400)</f>
        <v>0</v>
      </c>
      <c r="BF400" s="55"/>
      <c r="BG400" s="55"/>
      <c r="BH400" s="55"/>
      <c r="BI400" s="55"/>
      <c r="BJ400" s="82">
        <f>SUM(BK400:BN400)</f>
        <v>0</v>
      </c>
      <c r="BK400" s="55"/>
      <c r="BL400" s="55"/>
      <c r="BM400" s="55"/>
      <c r="BN400" s="55"/>
      <c r="BO400" s="82">
        <f>SUM(BP400:BS400)</f>
        <v>0</v>
      </c>
      <c r="BP400" s="55"/>
      <c r="BQ400" s="55"/>
      <c r="BR400" s="55"/>
      <c r="BS400" s="55"/>
      <c r="BT400" s="82">
        <f>SUM(BU400:BX400)</f>
        <v>0</v>
      </c>
      <c r="BU400" s="55"/>
      <c r="BV400" s="55"/>
      <c r="BW400" s="55"/>
      <c r="BX400" s="55"/>
      <c r="BY400" s="82">
        <f>SUM(BZ400:CC400)</f>
        <v>0</v>
      </c>
      <c r="BZ400" s="55"/>
      <c r="CA400" s="55"/>
      <c r="CB400" s="55"/>
      <c r="CC400" s="55"/>
      <c r="CD400" s="82">
        <f>SUM(CE400:CH400)</f>
        <v>0</v>
      </c>
      <c r="CE400" s="55"/>
      <c r="CF400" s="55"/>
      <c r="CG400" s="55"/>
      <c r="CH400" s="55"/>
      <c r="CI400" s="501">
        <f t="shared" si="945"/>
        <v>0</v>
      </c>
      <c r="CJ400" s="492">
        <f t="shared" si="946"/>
        <v>0</v>
      </c>
      <c r="CK400" s="492">
        <f t="shared" si="947"/>
        <v>0</v>
      </c>
      <c r="CL400" s="492">
        <f t="shared" si="948"/>
        <v>0</v>
      </c>
      <c r="CM400" s="492">
        <f t="shared" si="949"/>
        <v>0</v>
      </c>
      <c r="CN400" s="501">
        <f t="shared" si="872"/>
        <v>0</v>
      </c>
      <c r="CO400" s="492">
        <f t="shared" si="873"/>
        <v>0</v>
      </c>
      <c r="CP400" s="492">
        <f t="shared" si="874"/>
        <v>0</v>
      </c>
      <c r="CQ400" s="492">
        <f t="shared" si="875"/>
        <v>0</v>
      </c>
      <c r="CR400" s="492">
        <f t="shared" si="876"/>
        <v>0</v>
      </c>
      <c r="CS400" s="501">
        <f>CN400-CO400-CP400-CQ400-CR400</f>
        <v>0</v>
      </c>
      <c r="CT400" s="14"/>
    </row>
    <row r="401" spans="1:98" ht="48.75" customHeight="1" x14ac:dyDescent="0.3">
      <c r="A401" s="374"/>
      <c r="B401" s="912" t="s">
        <v>811</v>
      </c>
      <c r="C401" s="913"/>
      <c r="D401" s="374"/>
      <c r="E401" s="375"/>
      <c r="F401" s="376" t="s">
        <v>811</v>
      </c>
      <c r="G401" s="375"/>
      <c r="H401" s="377"/>
      <c r="I401" s="377"/>
      <c r="J401" s="377"/>
      <c r="K401" s="377"/>
      <c r="L401" s="377"/>
      <c r="M401" s="377"/>
      <c r="N401" s="709"/>
      <c r="O401" s="709"/>
      <c r="P401" s="548"/>
      <c r="Q401" s="278"/>
      <c r="R401" s="278"/>
      <c r="S401" s="278"/>
      <c r="T401" s="278"/>
      <c r="U401" s="278"/>
      <c r="V401" s="278"/>
      <c r="W401" s="278"/>
      <c r="X401" s="278"/>
      <c r="Y401" s="278"/>
      <c r="Z401" s="278"/>
      <c r="AA401" s="279">
        <f>SUM(AA15:AA400)</f>
        <v>18007579.700000003</v>
      </c>
      <c r="AB401" s="279">
        <f>SUM(AB227:AB400)+SUM(AB15:AB207)+50000+71629.7+10000+116001.3+183614.6+20240.6+626146.6+33090.6</f>
        <v>2843253.7</v>
      </c>
      <c r="AC401" s="279">
        <f>SUM(AC15:AC400)</f>
        <v>1949315.8</v>
      </c>
      <c r="AD401" s="279">
        <f>SUM(AD15:AD400)</f>
        <v>1428328.5</v>
      </c>
      <c r="AE401" s="279">
        <f>SUM(AE15:AE400)</f>
        <v>11763961.100000001</v>
      </c>
      <c r="AF401" s="279">
        <f>SUM(AF15:AF400)</f>
        <v>20850199.872000001</v>
      </c>
      <c r="AG401" s="279">
        <f>SUM(AG227:AG400)+SUM(AG15:AG207)+129706.8+76779.6+165906+50000+20240.6+417303.6+3000</f>
        <v>2338219.3000000003</v>
      </c>
      <c r="AH401" s="279">
        <f>SUM(AH15:AH400)</f>
        <v>2219072.5000000005</v>
      </c>
      <c r="AI401" s="279">
        <f>SUM(AI15:AI400)</f>
        <v>1768954.6</v>
      </c>
      <c r="AJ401" s="279">
        <f>SUM(AJ15:AJ400)</f>
        <v>13045293.072000001</v>
      </c>
      <c r="AK401" s="279">
        <f>SUM(AK15:AK400)</f>
        <v>14810647.500000002</v>
      </c>
      <c r="AL401" s="279">
        <f>SUM(AL227:AL400)+SUM(AL15:AL207)+150000+20240.6+692496.8+3000</f>
        <v>2333775.5</v>
      </c>
      <c r="AM401" s="279">
        <f>SUM(AM15:AM400)</f>
        <v>1534455.9</v>
      </c>
      <c r="AN401" s="279">
        <f>SUM(AN15:AN400)</f>
        <v>1834.6</v>
      </c>
      <c r="AO401" s="279">
        <f>SUM(AO15:AO400)</f>
        <v>7016192</v>
      </c>
      <c r="AP401" s="280">
        <f>SUM(AP15:AP400)</f>
        <v>14264098.200000001</v>
      </c>
      <c r="AQ401" s="279">
        <f>SUM(AQ227:AQ400)+SUM(AQ15:AQ207)+309500+146000+250000+21030+721582.2</f>
        <v>2490112.4000000004</v>
      </c>
      <c r="AR401" s="279">
        <f>SUM(AR15:AR400)</f>
        <v>1267897.1000000001</v>
      </c>
      <c r="AS401" s="279">
        <f>SUM(AS15:AS400)</f>
        <v>0</v>
      </c>
      <c r="AT401" s="279">
        <f>SUM(AT15:AT400)</f>
        <v>503778.2</v>
      </c>
      <c r="AU401" s="280">
        <f>SUM(AU15:AU400)</f>
        <v>14418688.9</v>
      </c>
      <c r="AV401" s="279">
        <f>SUM(AV227:AV400)+SUM(AV15:AV207)+240000+21850.2+749723.9</f>
        <v>2051952.7000000002</v>
      </c>
      <c r="AW401" s="279">
        <f>SUM(AW15:AW400)</f>
        <v>1276753.2</v>
      </c>
      <c r="AX401" s="279">
        <f>SUM(AX15:AX400)</f>
        <v>0</v>
      </c>
      <c r="AY401" s="279">
        <f>SUM(AY15:AY400)</f>
        <v>557778.19999999995</v>
      </c>
      <c r="AZ401" s="280">
        <f>SUM(AZ15:AZ400)</f>
        <v>13061745.300000001</v>
      </c>
      <c r="BA401" s="279">
        <f>SUM(BA227:BA400)+SUM(BA15:BA207)+240000+22702.4+778963.1</f>
        <v>2046115.1</v>
      </c>
      <c r="BB401" s="279">
        <f>SUM(BB15:BB400)</f>
        <v>1334016</v>
      </c>
      <c r="BC401" s="279">
        <f>SUM(BC15:BC400)</f>
        <v>0</v>
      </c>
      <c r="BD401" s="279">
        <f>SUM(BD15:BD400)</f>
        <v>710778.2</v>
      </c>
      <c r="BE401" s="280">
        <f>SUM(BE15:BE400)</f>
        <v>12301397.700000001</v>
      </c>
      <c r="BF401" s="279">
        <f>SUM(BF227:BF400)+SUM(BF15:BF207)+240000+23587.8+809342.7</f>
        <v>2089256.9</v>
      </c>
      <c r="BG401" s="279">
        <f>SUM(BG15:BG400)</f>
        <v>1588419.1</v>
      </c>
      <c r="BH401" s="279">
        <f>SUM(BH15:BH400)</f>
        <v>0</v>
      </c>
      <c r="BI401" s="279">
        <f>SUM(BI15:BI400)</f>
        <v>863778.2</v>
      </c>
      <c r="BJ401" s="280">
        <f>SUM(BJ15:BJ400)</f>
        <v>8463115.9999999981</v>
      </c>
      <c r="BK401" s="279">
        <f>SUM(BK227:BK400)+SUM(BK15:BK207)+110000+24507.7+840907.1</f>
        <v>2015646.1</v>
      </c>
      <c r="BL401" s="279">
        <f>SUM(BL15:BL400)</f>
        <v>1956550.0999999999</v>
      </c>
      <c r="BM401" s="279">
        <f>SUM(BM15:BM400)</f>
        <v>0</v>
      </c>
      <c r="BN401" s="279">
        <f>SUM(BN15:BN400)</f>
        <v>767778.2</v>
      </c>
      <c r="BO401" s="280">
        <f>SUM(BO15:BO400)</f>
        <v>8246405.5999999987</v>
      </c>
      <c r="BP401" s="279">
        <f>SUM(BP227:BP400)+SUM(BP15:BP207)+245000+25463.5+873702.5</f>
        <v>2184418.7000000002</v>
      </c>
      <c r="BQ401" s="279">
        <f>SUM(BQ15:BQ400)</f>
        <v>1808768.8</v>
      </c>
      <c r="BR401" s="279">
        <f>SUM(BR15:BR400)</f>
        <v>0</v>
      </c>
      <c r="BS401" s="279">
        <f>SUM(BS15:BS400)</f>
        <v>630778.19999999995</v>
      </c>
      <c r="BT401" s="280">
        <f>SUM(BT15:BT400)</f>
        <v>8108722.8000000007</v>
      </c>
      <c r="BU401" s="279">
        <f>SUM(BU227:BU400)+SUM(BU15:BU207)+375000+26456.6+907776.9</f>
        <v>2123907.3000000003</v>
      </c>
      <c r="BV401" s="279">
        <f>SUM(BV15:BV400)</f>
        <v>1473787.2</v>
      </c>
      <c r="BW401" s="279">
        <f>SUM(BW15:BW400)</f>
        <v>0</v>
      </c>
      <c r="BX401" s="279">
        <f>SUM(BX15:BX400)</f>
        <v>639778.19999999995</v>
      </c>
      <c r="BY401" s="280">
        <f>SUM(BY15:BY400)</f>
        <v>8234752.6999999993</v>
      </c>
      <c r="BZ401" s="279">
        <f>SUM(BZ227:BZ400)+SUM(BZ15:BZ207)+250000+330000+27488.4+943180.2</f>
        <v>2590762.4</v>
      </c>
      <c r="CA401" s="279">
        <f>SUM(CA15:CA400)</f>
        <v>1518067.7</v>
      </c>
      <c r="CB401" s="279">
        <f>SUM(CB15:CB400)</f>
        <v>0</v>
      </c>
      <c r="CC401" s="279">
        <f>SUM(CC15:CC400)</f>
        <v>648778.19999999995</v>
      </c>
      <c r="CD401" s="280">
        <f>SUM(CD15:CD400)</f>
        <v>49955198.499999985</v>
      </c>
      <c r="CE401" s="279">
        <f>SUM(CE227:CE400)+SUM(CE15:CE207)+260000+28560.4+979964.2</f>
        <v>2378870.2999999998</v>
      </c>
      <c r="CF401" s="279">
        <f>SUM(CF15:CF400)</f>
        <v>1564075.0999999999</v>
      </c>
      <c r="CG401" s="279">
        <f>SUM(CG15:CG400)</f>
        <v>40000000</v>
      </c>
      <c r="CH401" s="279">
        <f>SUM(CH15:CH400)</f>
        <v>657778.19999999995</v>
      </c>
      <c r="CI401" s="280">
        <f>SUM(CI15:CI400)</f>
        <v>53666354.071999989</v>
      </c>
      <c r="CJ401" s="279">
        <f>SUM(CJ227:CJ400)+SUM(CJ15:CJ207)+50000+129706.8+71629.7+309500+86779.6+281907.3+200000+183614.6+60721.8+1735947+39090.6</f>
        <v>7822675.4999999981</v>
      </c>
      <c r="CK401" s="279">
        <f>SUM(CK15:CK400)</f>
        <v>5702844.2000000002</v>
      </c>
      <c r="CL401" s="279">
        <f>SUM(CL15:CL400)</f>
        <v>3199117.6999999997</v>
      </c>
      <c r="CM401" s="279">
        <f>SUM(CM15:CM400)</f>
        <v>31825446.171999998</v>
      </c>
      <c r="CN401" s="281" t="e">
        <f>#REF!+CN173+CN303</f>
        <v>#REF!</v>
      </c>
      <c r="CO401" s="281" t="e">
        <f>#REF!+CO173+CO303</f>
        <v>#REF!</v>
      </c>
      <c r="CP401" s="281" t="e">
        <f>#REF!+CP173+CP303</f>
        <v>#REF!</v>
      </c>
      <c r="CQ401" s="281" t="e">
        <f>#REF!+CQ173+CQ303</f>
        <v>#REF!</v>
      </c>
      <c r="CR401" s="281" t="e">
        <f>#REF!+CR173+CR303</f>
        <v>#REF!</v>
      </c>
      <c r="CS401" s="272" t="e">
        <f>#REF!+CS173+CS303</f>
        <v>#REF!</v>
      </c>
    </row>
    <row r="402" spans="1:98" s="4" customFormat="1" ht="26.25" customHeight="1" x14ac:dyDescent="0.3">
      <c r="A402" s="27"/>
      <c r="B402" s="110"/>
      <c r="C402" s="110"/>
      <c r="D402" s="27"/>
      <c r="E402" s="27"/>
      <c r="F402" s="111"/>
      <c r="G402" s="27"/>
      <c r="H402" s="27"/>
      <c r="I402" s="27"/>
      <c r="J402" s="27"/>
      <c r="K402" s="27"/>
      <c r="L402" s="27"/>
      <c r="M402" s="27"/>
      <c r="N402" s="111"/>
      <c r="O402" s="111"/>
      <c r="P402" s="111"/>
      <c r="Q402" s="27"/>
      <c r="R402" s="27"/>
      <c r="S402" s="27"/>
      <c r="T402" s="27"/>
      <c r="U402" s="27"/>
      <c r="V402" s="27"/>
      <c r="W402" s="27"/>
      <c r="X402" s="27"/>
      <c r="Y402" s="27"/>
      <c r="Z402" s="27"/>
      <c r="AA402" s="108">
        <f>AA401-AB401-AC401-AD401-AE401</f>
        <v>22720.60000000149</v>
      </c>
      <c r="AB402" s="108"/>
      <c r="AC402" s="108"/>
      <c r="AD402" s="108"/>
      <c r="AE402" s="108"/>
      <c r="AF402" s="108">
        <f>AF401-AG401-AH401-AI401-AJ401</f>
        <v>1478660.4000000004</v>
      </c>
      <c r="AG402" s="108"/>
      <c r="AH402" s="108"/>
      <c r="AI402" s="108"/>
      <c r="AJ402" s="108"/>
      <c r="AK402" s="108">
        <f>AK401-AL401-AM401-AN401-AO401</f>
        <v>3924389.5000000019</v>
      </c>
      <c r="AL402" s="108">
        <v>1468038.0999999999</v>
      </c>
      <c r="AM402" s="108"/>
      <c r="AN402" s="108"/>
      <c r="AO402" s="108"/>
      <c r="AP402" s="109">
        <f>AP401-AQ401-AR401-AS401-AT401</f>
        <v>10002310.500000002</v>
      </c>
      <c r="AQ402" s="108">
        <v>1042000.2000000001</v>
      </c>
      <c r="AR402" s="108"/>
      <c r="AS402" s="108"/>
      <c r="AT402" s="108"/>
      <c r="AU402" s="109">
        <f>AU401-AV401-AW401-AX401-AY401</f>
        <v>10532204.800000001</v>
      </c>
      <c r="AV402" s="108"/>
      <c r="AW402" s="108"/>
      <c r="AX402" s="108"/>
      <c r="AY402" s="108"/>
      <c r="AZ402" s="109">
        <f>AZ401-BA401-BB401-BC401-BD401</f>
        <v>8970836.0000000019</v>
      </c>
      <c r="BA402" s="108"/>
      <c r="BB402" s="108"/>
      <c r="BC402" s="108"/>
      <c r="BD402" s="108"/>
      <c r="BE402" s="109">
        <f>BE401-BF401-BG401-BH401-BI401</f>
        <v>7759943.5000000009</v>
      </c>
      <c r="BF402" s="108"/>
      <c r="BG402" s="108"/>
      <c r="BH402" s="108"/>
      <c r="BI402" s="108"/>
      <c r="BJ402" s="109">
        <f>BJ401-BK401-BL401-BM401-BN401</f>
        <v>3723141.5999999987</v>
      </c>
      <c r="BK402" s="108"/>
      <c r="BL402" s="108"/>
      <c r="BM402" s="108"/>
      <c r="BN402" s="108"/>
      <c r="BO402" s="109">
        <f>BO401-BP401-BQ401-BR401-BS401</f>
        <v>3622439.8999999985</v>
      </c>
      <c r="BP402" s="108"/>
      <c r="BQ402" s="108"/>
      <c r="BR402" s="108"/>
      <c r="BS402" s="108"/>
      <c r="BT402" s="109">
        <f>BT401-BU401-BV401-BW401-BX401</f>
        <v>3871250.0999999996</v>
      </c>
      <c r="BU402" s="108"/>
      <c r="BV402" s="108"/>
      <c r="BW402" s="108"/>
      <c r="BX402" s="108"/>
      <c r="BY402" s="109">
        <f>BY401-BZ401-CA401-CB401-CC401</f>
        <v>3477144.3999999985</v>
      </c>
      <c r="BZ402" s="108"/>
      <c r="CA402" s="108"/>
      <c r="CB402" s="108"/>
      <c r="CC402" s="108"/>
      <c r="CD402" s="109">
        <f>CD401-CE401-CF401-CG401-CH401</f>
        <v>5354474.8999999864</v>
      </c>
      <c r="CE402" s="108"/>
      <c r="CF402" s="108"/>
      <c r="CG402" s="108"/>
      <c r="CH402" s="108"/>
      <c r="CI402" s="108">
        <f>CI401-CJ401-CK401-CL401-CM401</f>
        <v>5116270.4999999851</v>
      </c>
      <c r="CJ402" s="108"/>
      <c r="CK402" s="108"/>
      <c r="CL402" s="108"/>
      <c r="CM402" s="108"/>
      <c r="CN402" s="108"/>
      <c r="CO402" s="108"/>
      <c r="CP402" s="108"/>
      <c r="CQ402" s="108"/>
      <c r="CR402" s="112"/>
      <c r="CS402" s="112"/>
      <c r="CT402" s="14"/>
    </row>
    <row r="403" spans="1:98" s="4" customFormat="1" ht="30" customHeight="1" x14ac:dyDescent="0.3">
      <c r="A403" s="722" t="s">
        <v>1482</v>
      </c>
      <c r="B403" s="722"/>
      <c r="C403" s="722"/>
      <c r="D403" s="722"/>
      <c r="E403" s="722"/>
      <c r="F403" s="703"/>
      <c r="G403" s="14"/>
      <c r="H403" s="14"/>
      <c r="I403" s="14"/>
      <c r="J403" s="14"/>
      <c r="K403" s="14"/>
      <c r="L403" s="14"/>
      <c r="M403" s="14"/>
      <c r="N403" s="703"/>
      <c r="O403" s="111"/>
      <c r="P403" s="703"/>
      <c r="Q403" s="14"/>
      <c r="R403" s="14"/>
      <c r="S403" s="14"/>
      <c r="T403" s="14"/>
      <c r="U403" s="14"/>
      <c r="V403" s="14"/>
      <c r="W403" s="14"/>
      <c r="X403" s="14"/>
      <c r="Y403" s="14"/>
      <c r="Z403" s="14"/>
      <c r="AA403" s="21"/>
      <c r="AB403" s="687"/>
      <c r="AC403" s="687"/>
      <c r="AD403" s="687"/>
      <c r="AE403" s="687"/>
      <c r="AF403" s="21"/>
      <c r="AG403" s="687"/>
      <c r="AH403" s="687"/>
      <c r="AI403" s="687"/>
      <c r="AJ403" s="687"/>
      <c r="AK403" s="21"/>
      <c r="AL403" s="687"/>
      <c r="AM403" s="687"/>
      <c r="AN403" s="687"/>
      <c r="AO403" s="687"/>
      <c r="AP403" s="21"/>
      <c r="AQ403" s="687"/>
      <c r="AR403" s="687"/>
      <c r="AS403" s="687"/>
      <c r="AT403" s="687"/>
      <c r="AU403" s="21"/>
      <c r="AV403" s="687"/>
      <c r="AW403" s="687"/>
      <c r="AX403" s="687"/>
      <c r="AY403" s="687"/>
      <c r="AZ403" s="21"/>
      <c r="BA403" s="687"/>
      <c r="BB403" s="687"/>
      <c r="BC403" s="687"/>
      <c r="BD403" s="687"/>
      <c r="BE403" s="21"/>
      <c r="BF403" s="687"/>
      <c r="BG403" s="687"/>
      <c r="BH403" s="687"/>
      <c r="BI403" s="687"/>
      <c r="BJ403" s="21"/>
      <c r="BK403" s="687"/>
      <c r="BL403" s="687"/>
      <c r="BM403" s="687"/>
      <c r="BN403" s="687"/>
      <c r="BO403" s="21"/>
      <c r="BP403" s="687"/>
      <c r="BQ403" s="687"/>
      <c r="BR403" s="687"/>
      <c r="BS403" s="687"/>
      <c r="BT403" s="21"/>
      <c r="BU403" s="687"/>
      <c r="BV403" s="687"/>
      <c r="BW403" s="687"/>
      <c r="BX403" s="687"/>
      <c r="BY403" s="21"/>
      <c r="BZ403" s="687"/>
      <c r="CA403" s="687"/>
      <c r="CB403" s="687"/>
      <c r="CC403" s="687"/>
      <c r="CD403" s="21"/>
      <c r="CE403" s="687"/>
      <c r="CF403" s="687"/>
      <c r="CG403" s="687"/>
      <c r="CH403" s="687"/>
      <c r="CI403" s="21"/>
      <c r="CJ403" s="687"/>
      <c r="CK403" s="687"/>
      <c r="CL403" s="23"/>
      <c r="CM403" s="687"/>
      <c r="CN403" s="438"/>
      <c r="CO403" s="438"/>
      <c r="CP403" s="438"/>
      <c r="CQ403" s="438"/>
      <c r="CR403" s="438"/>
      <c r="CS403" s="112"/>
      <c r="CT403" s="14"/>
    </row>
    <row r="404" spans="1:98" s="4" customFormat="1" ht="48" customHeight="1" x14ac:dyDescent="0.4">
      <c r="A404" s="723" t="s">
        <v>1483</v>
      </c>
      <c r="B404" s="723"/>
      <c r="C404" s="723"/>
      <c r="D404" s="723"/>
      <c r="E404" s="723"/>
      <c r="F404" s="703"/>
      <c r="G404" s="14"/>
      <c r="H404" s="14"/>
      <c r="I404" s="14"/>
      <c r="J404" s="14"/>
      <c r="K404" s="14"/>
      <c r="L404" s="14"/>
      <c r="M404" s="14"/>
      <c r="N404" s="703"/>
      <c r="O404" s="111"/>
      <c r="P404" s="703"/>
      <c r="Q404" s="14"/>
      <c r="R404" s="14"/>
      <c r="S404" s="14"/>
      <c r="T404" s="14"/>
      <c r="U404" s="14"/>
      <c r="V404" s="14"/>
      <c r="W404" s="14"/>
      <c r="X404" s="14"/>
      <c r="Y404" s="14"/>
      <c r="Z404" s="14"/>
      <c r="AA404" s="21"/>
      <c r="AB404" s="687"/>
      <c r="AC404" s="687"/>
      <c r="AD404" s="687"/>
      <c r="AE404" s="687"/>
      <c r="AF404" s="21"/>
      <c r="AG404" s="687"/>
      <c r="AH404" s="687"/>
      <c r="AI404" s="687"/>
      <c r="AJ404" s="687"/>
      <c r="AK404" s="21"/>
      <c r="AL404" s="687"/>
      <c r="AM404" s="687"/>
      <c r="AN404" s="687"/>
      <c r="AO404" s="687"/>
      <c r="AP404" s="21"/>
      <c r="AQ404" s="687"/>
      <c r="AR404" s="687"/>
      <c r="AS404" s="687"/>
      <c r="AT404" s="687"/>
      <c r="AU404" s="21"/>
      <c r="AV404" s="687"/>
      <c r="AW404" s="687"/>
      <c r="AX404" s="687"/>
      <c r="AY404" s="687"/>
      <c r="AZ404" s="21"/>
      <c r="BA404" s="687"/>
      <c r="BB404" s="687"/>
      <c r="BC404" s="687"/>
      <c r="BD404" s="687"/>
      <c r="BE404" s="21"/>
      <c r="BF404" s="687"/>
      <c r="BG404" s="687"/>
      <c r="BH404" s="687"/>
      <c r="BI404" s="687"/>
      <c r="BJ404" s="21"/>
      <c r="BK404" s="687"/>
      <c r="BL404" s="687"/>
      <c r="BM404" s="687"/>
      <c r="BN404" s="687"/>
      <c r="BO404" s="21"/>
      <c r="BP404" s="687"/>
      <c r="BQ404" s="687"/>
      <c r="BR404" s="687"/>
      <c r="BS404" s="687"/>
      <c r="BT404" s="21"/>
      <c r="BU404" s="687"/>
      <c r="BV404" s="687"/>
      <c r="BW404" s="687"/>
      <c r="BX404" s="687"/>
      <c r="BY404" s="21"/>
      <c r="BZ404" s="687"/>
      <c r="CA404" s="687"/>
      <c r="CB404" s="687"/>
      <c r="CC404" s="687"/>
      <c r="CD404" s="21"/>
      <c r="CE404" s="687"/>
      <c r="CF404" s="687"/>
      <c r="CG404" s="687"/>
      <c r="CH404" s="687"/>
      <c r="CI404" s="687"/>
      <c r="CJ404" s="22"/>
      <c r="CK404" s="687"/>
      <c r="CL404" s="23"/>
      <c r="CM404" s="687"/>
      <c r="CN404" s="687"/>
      <c r="CO404" s="687"/>
      <c r="CP404" s="687"/>
      <c r="CQ404" s="687"/>
      <c r="CR404" s="687"/>
      <c r="CS404" s="112"/>
      <c r="CT404" s="14"/>
    </row>
    <row r="405" spans="1:98" s="4" customFormat="1" ht="54.75" customHeight="1" x14ac:dyDescent="0.3">
      <c r="A405" s="14"/>
      <c r="B405" s="292"/>
      <c r="C405" s="292"/>
      <c r="D405" s="14"/>
      <c r="E405" s="14"/>
      <c r="F405" s="703"/>
      <c r="G405" s="14"/>
      <c r="H405" s="14"/>
      <c r="I405" s="14"/>
      <c r="J405" s="14"/>
      <c r="K405" s="14"/>
      <c r="L405" s="14"/>
      <c r="M405" s="14"/>
      <c r="N405" s="703"/>
      <c r="O405" s="111"/>
      <c r="P405" s="703"/>
      <c r="Q405" s="14"/>
      <c r="R405" s="14"/>
      <c r="S405" s="14"/>
      <c r="T405" s="14"/>
      <c r="U405" s="14"/>
      <c r="V405" s="14"/>
      <c r="W405" s="14"/>
      <c r="X405" s="14"/>
      <c r="Y405" s="14"/>
      <c r="Z405" s="14"/>
      <c r="AA405" s="18"/>
      <c r="AB405" s="19"/>
      <c r="AC405" s="19"/>
      <c r="AD405" s="19"/>
      <c r="AE405" s="19"/>
      <c r="AF405" s="18"/>
      <c r="AG405" s="19"/>
      <c r="AH405" s="19"/>
      <c r="AI405" s="19"/>
      <c r="AJ405" s="19"/>
      <c r="AK405" s="18"/>
      <c r="AL405" s="19"/>
      <c r="AM405" s="19"/>
      <c r="AN405" s="19"/>
      <c r="AO405" s="19"/>
      <c r="AP405" s="18"/>
      <c r="AQ405" s="19"/>
      <c r="AR405" s="19"/>
      <c r="AS405" s="19"/>
      <c r="AT405" s="19"/>
      <c r="AU405" s="18"/>
      <c r="AV405" s="19"/>
      <c r="AW405" s="19"/>
      <c r="AX405" s="19"/>
      <c r="AY405" s="19"/>
      <c r="AZ405" s="18"/>
      <c r="BA405" s="19"/>
      <c r="BB405" s="19"/>
      <c r="BC405" s="19"/>
      <c r="BD405" s="19"/>
      <c r="BE405" s="18"/>
      <c r="BF405" s="19"/>
      <c r="BG405" s="19"/>
      <c r="BH405" s="19"/>
      <c r="BI405" s="19"/>
      <c r="BJ405" s="18"/>
      <c r="BK405" s="19"/>
      <c r="BL405" s="19"/>
      <c r="BM405" s="19"/>
      <c r="BN405" s="19"/>
      <c r="BO405" s="18"/>
      <c r="BP405" s="19"/>
      <c r="BQ405" s="19"/>
      <c r="BR405" s="19"/>
      <c r="BS405" s="19"/>
      <c r="BT405" s="18"/>
      <c r="BU405" s="19"/>
      <c r="BV405" s="19"/>
      <c r="BW405" s="19"/>
      <c r="BX405" s="19"/>
      <c r="BY405" s="18"/>
      <c r="BZ405" s="19"/>
      <c r="CA405" s="19"/>
      <c r="CB405" s="19"/>
      <c r="CC405" s="19"/>
      <c r="CD405" s="18"/>
      <c r="CE405" s="19"/>
      <c r="CF405" s="19"/>
      <c r="CG405" s="19"/>
      <c r="CH405" s="19"/>
      <c r="CI405" s="18"/>
      <c r="CJ405" s="19"/>
      <c r="CK405" s="19"/>
      <c r="CL405" s="19"/>
      <c r="CM405" s="19"/>
      <c r="CN405" s="22"/>
      <c r="CO405" s="22"/>
      <c r="CP405" s="22"/>
      <c r="CQ405" s="22"/>
      <c r="CR405" s="22"/>
      <c r="CS405" s="22"/>
      <c r="CT405" s="14"/>
    </row>
    <row r="406" spans="1:98" s="4" customFormat="1" x14ac:dyDescent="0.3">
      <c r="A406" s="14"/>
      <c r="B406" s="292"/>
      <c r="C406" s="292"/>
      <c r="D406" s="14"/>
      <c r="E406" s="14"/>
      <c r="F406" s="703"/>
      <c r="G406" s="14"/>
      <c r="H406" s="14"/>
      <c r="I406" s="14"/>
      <c r="J406" s="14"/>
      <c r="K406" s="14"/>
      <c r="L406" s="14"/>
      <c r="M406" s="14"/>
      <c r="N406" s="703"/>
      <c r="O406" s="111"/>
      <c r="P406" s="703"/>
      <c r="Q406" s="14"/>
      <c r="R406" s="14"/>
      <c r="S406" s="14"/>
      <c r="T406" s="14"/>
      <c r="U406" s="14"/>
      <c r="V406" s="14"/>
      <c r="W406" s="14"/>
      <c r="X406" s="14"/>
      <c r="Y406" s="14"/>
      <c r="Z406" s="14"/>
      <c r="AA406" s="18"/>
      <c r="AB406" s="19"/>
      <c r="AC406" s="19"/>
      <c r="AD406" s="19"/>
      <c r="AE406" s="19"/>
      <c r="AF406" s="18"/>
      <c r="AG406" s="19"/>
      <c r="AH406" s="19"/>
      <c r="AI406" s="19"/>
      <c r="AJ406" s="19"/>
      <c r="AK406" s="18"/>
      <c r="AL406" s="19"/>
      <c r="AM406" s="19"/>
      <c r="AN406" s="19"/>
      <c r="AO406" s="19"/>
      <c r="AP406" s="18"/>
      <c r="AQ406" s="19"/>
      <c r="AR406" s="19"/>
      <c r="AS406" s="19"/>
      <c r="AT406" s="19"/>
      <c r="AU406" s="18"/>
      <c r="AV406" s="19"/>
      <c r="AW406" s="19"/>
      <c r="AX406" s="19"/>
      <c r="AY406" s="19"/>
      <c r="AZ406" s="18"/>
      <c r="BA406" s="19"/>
      <c r="BB406" s="19"/>
      <c r="BC406" s="19"/>
      <c r="BD406" s="19"/>
      <c r="BE406" s="18"/>
      <c r="BF406" s="19"/>
      <c r="BG406" s="19"/>
      <c r="BH406" s="19"/>
      <c r="BI406" s="19"/>
      <c r="BJ406" s="18"/>
      <c r="BK406" s="19"/>
      <c r="BL406" s="19"/>
      <c r="BM406" s="19"/>
      <c r="BN406" s="19"/>
      <c r="BO406" s="18"/>
      <c r="BP406" s="19"/>
      <c r="BQ406" s="19"/>
      <c r="BR406" s="19"/>
      <c r="BS406" s="19"/>
      <c r="BT406" s="18"/>
      <c r="BU406" s="19"/>
      <c r="BV406" s="19"/>
      <c r="BW406" s="19"/>
      <c r="BX406" s="19"/>
      <c r="BY406" s="18"/>
      <c r="BZ406" s="19"/>
      <c r="CA406" s="19"/>
      <c r="CB406" s="19"/>
      <c r="CC406" s="19"/>
      <c r="CD406" s="18"/>
      <c r="CE406" s="19"/>
      <c r="CF406" s="19"/>
      <c r="CG406" s="19"/>
      <c r="CH406" s="19"/>
      <c r="CI406" s="18"/>
      <c r="CJ406" s="19"/>
      <c r="CK406" s="19"/>
      <c r="CL406" s="19"/>
      <c r="CM406" s="19"/>
      <c r="CN406" s="22"/>
      <c r="CO406" s="22"/>
      <c r="CP406" s="22"/>
      <c r="CQ406" s="22"/>
      <c r="CR406" s="22"/>
      <c r="CS406" s="22"/>
      <c r="CT406" s="14"/>
    </row>
    <row r="407" spans="1:98" s="4" customFormat="1" x14ac:dyDescent="0.3">
      <c r="A407" s="14"/>
      <c r="B407" s="292"/>
      <c r="C407" s="292"/>
      <c r="D407" s="14"/>
      <c r="E407" s="14"/>
      <c r="F407" s="703"/>
      <c r="G407" s="14"/>
      <c r="H407" s="14"/>
      <c r="I407" s="14"/>
      <c r="J407" s="14"/>
      <c r="K407" s="14"/>
      <c r="L407" s="14"/>
      <c r="M407" s="14"/>
      <c r="N407" s="703"/>
      <c r="O407" s="111"/>
      <c r="P407" s="703"/>
      <c r="Q407" s="14"/>
      <c r="R407" s="14"/>
      <c r="S407" s="14"/>
      <c r="T407" s="14"/>
      <c r="U407" s="14"/>
      <c r="V407" s="14"/>
      <c r="W407" s="14"/>
      <c r="X407" s="14"/>
      <c r="Y407" s="14"/>
      <c r="Z407" s="14"/>
      <c r="AA407" s="18"/>
      <c r="AB407" s="19"/>
      <c r="AC407" s="19"/>
      <c r="AD407" s="19"/>
      <c r="AE407" s="19"/>
      <c r="AF407" s="18"/>
      <c r="AG407" s="19"/>
      <c r="AH407" s="19"/>
      <c r="AI407" s="19"/>
      <c r="AJ407" s="19"/>
      <c r="AK407" s="18"/>
      <c r="AL407" s="19"/>
      <c r="AM407" s="19"/>
      <c r="AN407" s="19"/>
      <c r="AO407" s="19"/>
      <c r="AP407" s="18"/>
      <c r="AQ407" s="19"/>
      <c r="AR407" s="19"/>
      <c r="AS407" s="19"/>
      <c r="AT407" s="19"/>
      <c r="AU407" s="18"/>
      <c r="AV407" s="19"/>
      <c r="AW407" s="19"/>
      <c r="AX407" s="19"/>
      <c r="AY407" s="19"/>
      <c r="AZ407" s="18"/>
      <c r="BA407" s="19"/>
      <c r="BB407" s="19"/>
      <c r="BC407" s="19"/>
      <c r="BD407" s="19"/>
      <c r="BE407" s="18"/>
      <c r="BF407" s="19"/>
      <c r="BG407" s="19"/>
      <c r="BH407" s="19"/>
      <c r="BI407" s="19"/>
      <c r="BJ407" s="18"/>
      <c r="BK407" s="19"/>
      <c r="BL407" s="19"/>
      <c r="BM407" s="19"/>
      <c r="BN407" s="19"/>
      <c r="BO407" s="18"/>
      <c r="BP407" s="19"/>
      <c r="BQ407" s="19"/>
      <c r="BR407" s="19"/>
      <c r="BS407" s="19"/>
      <c r="BT407" s="18"/>
      <c r="BU407" s="19"/>
      <c r="BV407" s="19"/>
      <c r="BW407" s="19"/>
      <c r="BX407" s="19"/>
      <c r="BY407" s="18"/>
      <c r="BZ407" s="19"/>
      <c r="CA407" s="19"/>
      <c r="CB407" s="19"/>
      <c r="CC407" s="19"/>
      <c r="CD407" s="18"/>
      <c r="CE407" s="19"/>
      <c r="CF407" s="19"/>
      <c r="CG407" s="19"/>
      <c r="CH407" s="19"/>
      <c r="CI407" s="18"/>
      <c r="CJ407" s="19"/>
      <c r="CK407" s="19"/>
      <c r="CL407" s="19"/>
      <c r="CM407" s="19"/>
      <c r="CN407" s="22"/>
      <c r="CO407" s="22"/>
      <c r="CP407" s="22"/>
      <c r="CQ407" s="22"/>
      <c r="CR407" s="22"/>
      <c r="CS407" s="22"/>
      <c r="CT407" s="14"/>
    </row>
    <row r="408" spans="1:98" s="4" customFormat="1" x14ac:dyDescent="0.3">
      <c r="A408" s="14"/>
      <c r="B408" s="292"/>
      <c r="C408" s="292"/>
      <c r="D408" s="14"/>
      <c r="E408" s="14"/>
      <c r="F408" s="703"/>
      <c r="G408" s="14"/>
      <c r="H408" s="14"/>
      <c r="I408" s="14"/>
      <c r="J408" s="14"/>
      <c r="K408" s="14"/>
      <c r="L408" s="14"/>
      <c r="M408" s="14"/>
      <c r="N408" s="703"/>
      <c r="O408" s="111"/>
      <c r="P408" s="703"/>
      <c r="Q408" s="14"/>
      <c r="R408" s="14"/>
      <c r="S408" s="14"/>
      <c r="T408" s="14"/>
      <c r="U408" s="14"/>
      <c r="V408" s="14"/>
      <c r="W408" s="14"/>
      <c r="X408" s="14"/>
      <c r="Y408" s="14"/>
      <c r="Z408" s="14"/>
      <c r="AA408" s="18"/>
      <c r="AB408" s="19"/>
      <c r="AC408" s="19"/>
      <c r="AD408" s="19"/>
      <c r="AE408" s="19"/>
      <c r="AF408" s="18"/>
      <c r="AG408" s="19"/>
      <c r="AH408" s="19"/>
      <c r="AI408" s="19"/>
      <c r="AJ408" s="19"/>
      <c r="AK408" s="18"/>
      <c r="AL408" s="19"/>
      <c r="AM408" s="19"/>
      <c r="AN408" s="19"/>
      <c r="AO408" s="19"/>
      <c r="AP408" s="18"/>
      <c r="AQ408" s="19"/>
      <c r="AR408" s="19"/>
      <c r="AS408" s="19"/>
      <c r="AT408" s="19"/>
      <c r="AU408" s="18"/>
      <c r="AV408" s="19"/>
      <c r="AW408" s="19"/>
      <c r="AX408" s="19"/>
      <c r="AY408" s="19"/>
      <c r="AZ408" s="18"/>
      <c r="BA408" s="19"/>
      <c r="BB408" s="19"/>
      <c r="BC408" s="19"/>
      <c r="BD408" s="19"/>
      <c r="BE408" s="18"/>
      <c r="BF408" s="19"/>
      <c r="BG408" s="19"/>
      <c r="BH408" s="19"/>
      <c r="BI408" s="19"/>
      <c r="BJ408" s="18"/>
      <c r="BK408" s="19"/>
      <c r="BL408" s="19"/>
      <c r="BM408" s="19"/>
      <c r="BN408" s="19"/>
      <c r="BO408" s="18"/>
      <c r="BP408" s="19"/>
      <c r="BQ408" s="19"/>
      <c r="BR408" s="19"/>
      <c r="BS408" s="19"/>
      <c r="BT408" s="18"/>
      <c r="BU408" s="19"/>
      <c r="BV408" s="19"/>
      <c r="BW408" s="19"/>
      <c r="BX408" s="19"/>
      <c r="BY408" s="18"/>
      <c r="BZ408" s="19"/>
      <c r="CA408" s="19"/>
      <c r="CB408" s="19"/>
      <c r="CC408" s="19"/>
      <c r="CD408" s="18"/>
      <c r="CE408" s="19"/>
      <c r="CF408" s="19"/>
      <c r="CG408" s="19"/>
      <c r="CH408" s="19"/>
      <c r="CI408" s="18"/>
      <c r="CJ408" s="19"/>
      <c r="CK408" s="19"/>
      <c r="CL408" s="19"/>
      <c r="CM408" s="19"/>
      <c r="CN408" s="22"/>
      <c r="CO408" s="22"/>
      <c r="CP408" s="22"/>
      <c r="CQ408" s="22"/>
      <c r="CR408" s="22"/>
      <c r="CS408" s="22"/>
      <c r="CT408" s="14"/>
    </row>
    <row r="409" spans="1:98" s="4" customFormat="1" x14ac:dyDescent="0.3">
      <c r="A409" s="14"/>
      <c r="B409" s="292"/>
      <c r="C409" s="292"/>
      <c r="D409" s="14"/>
      <c r="E409" s="14"/>
      <c r="F409" s="703"/>
      <c r="G409" s="14"/>
      <c r="H409" s="14"/>
      <c r="I409" s="14"/>
      <c r="J409" s="14"/>
      <c r="K409" s="14"/>
      <c r="L409" s="14"/>
      <c r="M409" s="14"/>
      <c r="N409" s="703"/>
      <c r="O409" s="111"/>
      <c r="P409" s="703"/>
      <c r="Q409" s="14"/>
      <c r="R409" s="14"/>
      <c r="S409" s="14"/>
      <c r="T409" s="14"/>
      <c r="U409" s="14"/>
      <c r="V409" s="14"/>
      <c r="W409" s="14"/>
      <c r="X409" s="14"/>
      <c r="Y409" s="14"/>
      <c r="Z409" s="14"/>
      <c r="AA409" s="18"/>
      <c r="AB409" s="19"/>
      <c r="AC409" s="19"/>
      <c r="AD409" s="19"/>
      <c r="AE409" s="19"/>
      <c r="AF409" s="18"/>
      <c r="AG409" s="19"/>
      <c r="AH409" s="19"/>
      <c r="AI409" s="19"/>
      <c r="AJ409" s="19"/>
      <c r="AK409" s="18"/>
      <c r="AL409" s="19"/>
      <c r="AM409" s="19"/>
      <c r="AN409" s="19"/>
      <c r="AO409" s="19"/>
      <c r="AP409" s="18"/>
      <c r="AQ409" s="19"/>
      <c r="AR409" s="19"/>
      <c r="AS409" s="19"/>
      <c r="AT409" s="19"/>
      <c r="AU409" s="18"/>
      <c r="AV409" s="19"/>
      <c r="AW409" s="19"/>
      <c r="AX409" s="19"/>
      <c r="AY409" s="19"/>
      <c r="AZ409" s="18"/>
      <c r="BA409" s="19"/>
      <c r="BB409" s="19"/>
      <c r="BC409" s="19"/>
      <c r="BD409" s="19"/>
      <c r="BE409" s="18"/>
      <c r="BF409" s="19"/>
      <c r="BG409" s="19"/>
      <c r="BH409" s="19"/>
      <c r="BI409" s="19"/>
      <c r="BJ409" s="18"/>
      <c r="BK409" s="19"/>
      <c r="BL409" s="19"/>
      <c r="BM409" s="19"/>
      <c r="BN409" s="19"/>
      <c r="BO409" s="18"/>
      <c r="BP409" s="19"/>
      <c r="BQ409" s="19"/>
      <c r="BR409" s="19"/>
      <c r="BS409" s="19"/>
      <c r="BT409" s="18"/>
      <c r="BU409" s="19"/>
      <c r="BV409" s="19"/>
      <c r="BW409" s="19"/>
      <c r="BX409" s="19"/>
      <c r="BY409" s="18"/>
      <c r="BZ409" s="19"/>
      <c r="CA409" s="19"/>
      <c r="CB409" s="19"/>
      <c r="CC409" s="19"/>
      <c r="CD409" s="18"/>
      <c r="CE409" s="19"/>
      <c r="CF409" s="19"/>
      <c r="CG409" s="19"/>
      <c r="CH409" s="19"/>
      <c r="CI409" s="18"/>
      <c r="CJ409" s="19"/>
      <c r="CK409" s="19"/>
      <c r="CL409" s="19"/>
      <c r="CM409" s="19"/>
      <c r="CN409" s="22"/>
      <c r="CO409" s="22"/>
      <c r="CP409" s="22"/>
      <c r="CQ409" s="22"/>
      <c r="CR409" s="22"/>
      <c r="CS409" s="22"/>
      <c r="CT409" s="14"/>
    </row>
    <row r="410" spans="1:98" s="4" customFormat="1" x14ac:dyDescent="0.3">
      <c r="A410" s="14"/>
      <c r="B410" s="292"/>
      <c r="C410" s="292"/>
      <c r="D410" s="14"/>
      <c r="E410" s="14"/>
      <c r="F410" s="703"/>
      <c r="G410" s="14"/>
      <c r="H410" s="14"/>
      <c r="I410" s="14"/>
      <c r="J410" s="14"/>
      <c r="K410" s="14"/>
      <c r="L410" s="14"/>
      <c r="M410" s="14"/>
      <c r="N410" s="703"/>
      <c r="O410" s="111"/>
      <c r="P410" s="703"/>
      <c r="Q410" s="14"/>
      <c r="R410" s="14"/>
      <c r="S410" s="14"/>
      <c r="T410" s="14"/>
      <c r="U410" s="14"/>
      <c r="V410" s="14"/>
      <c r="W410" s="14"/>
      <c r="X410" s="14"/>
      <c r="Y410" s="14"/>
      <c r="Z410" s="14"/>
      <c r="AA410" s="18"/>
      <c r="AB410" s="19"/>
      <c r="AC410" s="19"/>
      <c r="AD410" s="19"/>
      <c r="AE410" s="19"/>
      <c r="AF410" s="18"/>
      <c r="AG410" s="19"/>
      <c r="AH410" s="19"/>
      <c r="AI410" s="19"/>
      <c r="AJ410" s="19"/>
      <c r="AK410" s="18"/>
      <c r="AL410" s="19"/>
      <c r="AM410" s="19"/>
      <c r="AN410" s="19"/>
      <c r="AO410" s="19"/>
      <c r="AP410" s="18"/>
      <c r="AQ410" s="19"/>
      <c r="AR410" s="19"/>
      <c r="AS410" s="19"/>
      <c r="AT410" s="19"/>
      <c r="AU410" s="18"/>
      <c r="AV410" s="19"/>
      <c r="AW410" s="19"/>
      <c r="AX410" s="19"/>
      <c r="AY410" s="19"/>
      <c r="AZ410" s="18"/>
      <c r="BA410" s="19"/>
      <c r="BB410" s="19"/>
      <c r="BC410" s="19"/>
      <c r="BD410" s="19"/>
      <c r="BE410" s="18"/>
      <c r="BF410" s="19"/>
      <c r="BG410" s="19"/>
      <c r="BH410" s="19"/>
      <c r="BI410" s="19"/>
      <c r="BJ410" s="18"/>
      <c r="BK410" s="19"/>
      <c r="BL410" s="19"/>
      <c r="BM410" s="19"/>
      <c r="BN410" s="19"/>
      <c r="BO410" s="18"/>
      <c r="BP410" s="19"/>
      <c r="BQ410" s="19"/>
      <c r="BR410" s="19"/>
      <c r="BS410" s="19"/>
      <c r="BT410" s="18"/>
      <c r="BU410" s="19"/>
      <c r="BV410" s="19"/>
      <c r="BW410" s="19"/>
      <c r="BX410" s="19"/>
      <c r="BY410" s="18"/>
      <c r="BZ410" s="19"/>
      <c r="CA410" s="19"/>
      <c r="CB410" s="19"/>
      <c r="CC410" s="19"/>
      <c r="CD410" s="18"/>
      <c r="CE410" s="19"/>
      <c r="CF410" s="19"/>
      <c r="CG410" s="19"/>
      <c r="CH410" s="19"/>
      <c r="CI410" s="18"/>
      <c r="CJ410" s="19"/>
      <c r="CK410" s="19"/>
      <c r="CL410" s="19"/>
      <c r="CM410" s="19"/>
      <c r="CN410" s="22"/>
      <c r="CO410" s="22"/>
      <c r="CP410" s="22"/>
      <c r="CQ410" s="22"/>
      <c r="CR410" s="22"/>
      <c r="CS410" s="22"/>
      <c r="CT410" s="14"/>
    </row>
    <row r="411" spans="1:98" s="4" customFormat="1" x14ac:dyDescent="0.3">
      <c r="A411" s="14"/>
      <c r="B411" s="292"/>
      <c r="C411" s="292"/>
      <c r="D411" s="14"/>
      <c r="E411" s="14"/>
      <c r="F411" s="703"/>
      <c r="G411" s="14"/>
      <c r="H411" s="14"/>
      <c r="I411" s="14"/>
      <c r="J411" s="14"/>
      <c r="K411" s="14"/>
      <c r="L411" s="14"/>
      <c r="M411" s="14"/>
      <c r="N411" s="703"/>
      <c r="O411" s="111"/>
      <c r="P411" s="703"/>
      <c r="Q411" s="14"/>
      <c r="R411" s="14"/>
      <c r="S411" s="14"/>
      <c r="T411" s="14"/>
      <c r="U411" s="14"/>
      <c r="V411" s="14"/>
      <c r="W411" s="14"/>
      <c r="X411" s="14"/>
      <c r="Y411" s="14"/>
      <c r="Z411" s="14"/>
      <c r="AA411" s="18"/>
      <c r="AB411" s="19"/>
      <c r="AC411" s="19"/>
      <c r="AD411" s="19"/>
      <c r="AE411" s="19"/>
      <c r="AF411" s="18"/>
      <c r="AG411" s="19"/>
      <c r="AH411" s="19"/>
      <c r="AI411" s="19"/>
      <c r="AJ411" s="19"/>
      <c r="AK411" s="18"/>
      <c r="AL411" s="19"/>
      <c r="AM411" s="19"/>
      <c r="AN411" s="19"/>
      <c r="AO411" s="19"/>
      <c r="AP411" s="18"/>
      <c r="AQ411" s="19"/>
      <c r="AR411" s="19"/>
      <c r="AS411" s="19"/>
      <c r="AT411" s="19"/>
      <c r="AU411" s="18"/>
      <c r="AV411" s="19"/>
      <c r="AW411" s="19"/>
      <c r="AX411" s="19"/>
      <c r="AY411" s="19"/>
      <c r="AZ411" s="18"/>
      <c r="BA411" s="19"/>
      <c r="BB411" s="19"/>
      <c r="BC411" s="19"/>
      <c r="BD411" s="19"/>
      <c r="BE411" s="18"/>
      <c r="BF411" s="19"/>
      <c r="BG411" s="19"/>
      <c r="BH411" s="19"/>
      <c r="BI411" s="19"/>
      <c r="BJ411" s="18"/>
      <c r="BK411" s="19"/>
      <c r="BL411" s="19"/>
      <c r="BM411" s="19"/>
      <c r="BN411" s="19"/>
      <c r="BO411" s="18"/>
      <c r="BP411" s="19"/>
      <c r="BQ411" s="19"/>
      <c r="BR411" s="19"/>
      <c r="BS411" s="19"/>
      <c r="BT411" s="18"/>
      <c r="BU411" s="19"/>
      <c r="BV411" s="19"/>
      <c r="BW411" s="19"/>
      <c r="BX411" s="19"/>
      <c r="BY411" s="18"/>
      <c r="BZ411" s="19"/>
      <c r="CA411" s="19"/>
      <c r="CB411" s="19"/>
      <c r="CC411" s="19"/>
      <c r="CD411" s="18"/>
      <c r="CE411" s="19"/>
      <c r="CF411" s="19"/>
      <c r="CG411" s="19"/>
      <c r="CH411" s="19"/>
      <c r="CI411" s="18"/>
      <c r="CJ411" s="19"/>
      <c r="CK411" s="19"/>
      <c r="CL411" s="19"/>
      <c r="CM411" s="19"/>
      <c r="CN411" s="22"/>
      <c r="CO411" s="22"/>
      <c r="CP411" s="22"/>
      <c r="CQ411" s="22"/>
      <c r="CR411" s="22"/>
      <c r="CS411" s="22"/>
      <c r="CT411" s="14"/>
    </row>
    <row r="412" spans="1:98" s="4" customFormat="1" x14ac:dyDescent="0.3">
      <c r="A412" s="14"/>
      <c r="B412" s="292"/>
      <c r="C412" s="292"/>
      <c r="D412" s="14"/>
      <c r="E412" s="14"/>
      <c r="F412" s="703"/>
      <c r="G412" s="14"/>
      <c r="H412" s="14"/>
      <c r="I412" s="14"/>
      <c r="J412" s="14"/>
      <c r="K412" s="14"/>
      <c r="L412" s="14"/>
      <c r="M412" s="14"/>
      <c r="N412" s="703"/>
      <c r="O412" s="111"/>
      <c r="P412" s="703"/>
      <c r="Q412" s="14"/>
      <c r="R412" s="14"/>
      <c r="S412" s="14"/>
      <c r="T412" s="14"/>
      <c r="U412" s="14"/>
      <c r="V412" s="14"/>
      <c r="W412" s="14"/>
      <c r="X412" s="14"/>
      <c r="Y412" s="14"/>
      <c r="Z412" s="14"/>
      <c r="AA412" s="18"/>
      <c r="AB412" s="19"/>
      <c r="AC412" s="19"/>
      <c r="AD412" s="19"/>
      <c r="AE412" s="19"/>
      <c r="AF412" s="18"/>
      <c r="AG412" s="19"/>
      <c r="AH412" s="19"/>
      <c r="AI412" s="19"/>
      <c r="AJ412" s="19"/>
      <c r="AK412" s="18"/>
      <c r="AL412" s="19"/>
      <c r="AM412" s="19"/>
      <c r="AN412" s="19"/>
      <c r="AO412" s="19"/>
      <c r="AP412" s="18"/>
      <c r="AQ412" s="19"/>
      <c r="AR412" s="19"/>
      <c r="AS412" s="19"/>
      <c r="AT412" s="19"/>
      <c r="AU412" s="18"/>
      <c r="AV412" s="19"/>
      <c r="AW412" s="19"/>
      <c r="AX412" s="19"/>
      <c r="AY412" s="19"/>
      <c r="AZ412" s="18"/>
      <c r="BA412" s="19"/>
      <c r="BB412" s="19"/>
      <c r="BC412" s="19"/>
      <c r="BD412" s="19"/>
      <c r="BE412" s="18"/>
      <c r="BF412" s="19"/>
      <c r="BG412" s="19"/>
      <c r="BH412" s="19"/>
      <c r="BI412" s="19"/>
      <c r="BJ412" s="18"/>
      <c r="BK412" s="19"/>
      <c r="BL412" s="19"/>
      <c r="BM412" s="19"/>
      <c r="BN412" s="19"/>
      <c r="BO412" s="18"/>
      <c r="BP412" s="19"/>
      <c r="BQ412" s="19"/>
      <c r="BR412" s="19"/>
      <c r="BS412" s="19"/>
      <c r="BT412" s="18"/>
      <c r="BU412" s="19"/>
      <c r="BV412" s="19"/>
      <c r="BW412" s="19"/>
      <c r="BX412" s="19"/>
      <c r="BY412" s="18"/>
      <c r="BZ412" s="19"/>
      <c r="CA412" s="19"/>
      <c r="CB412" s="19"/>
      <c r="CC412" s="19"/>
      <c r="CD412" s="18"/>
      <c r="CE412" s="19"/>
      <c r="CF412" s="19"/>
      <c r="CG412" s="19"/>
      <c r="CH412" s="19"/>
      <c r="CI412" s="18"/>
      <c r="CJ412" s="19"/>
      <c r="CK412" s="19"/>
      <c r="CL412" s="19"/>
      <c r="CM412" s="19"/>
      <c r="CN412" s="22"/>
      <c r="CO412" s="22"/>
      <c r="CP412" s="22"/>
      <c r="CQ412" s="22"/>
      <c r="CR412" s="22"/>
      <c r="CS412" s="22"/>
      <c r="CT412" s="14"/>
    </row>
    <row r="413" spans="1:98" s="4" customFormat="1" x14ac:dyDescent="0.3">
      <c r="A413" s="14"/>
      <c r="B413" s="292"/>
      <c r="C413" s="292"/>
      <c r="D413" s="14"/>
      <c r="E413" s="14"/>
      <c r="F413" s="703"/>
      <c r="G413" s="14"/>
      <c r="H413" s="14"/>
      <c r="I413" s="14"/>
      <c r="J413" s="14"/>
      <c r="K413" s="14"/>
      <c r="L413" s="14"/>
      <c r="M413" s="14"/>
      <c r="N413" s="703"/>
      <c r="O413" s="111"/>
      <c r="P413" s="703"/>
      <c r="Q413" s="14"/>
      <c r="R413" s="14"/>
      <c r="S413" s="14"/>
      <c r="T413" s="14"/>
      <c r="U413" s="14"/>
      <c r="V413" s="14"/>
      <c r="W413" s="14"/>
      <c r="X413" s="14"/>
      <c r="Y413" s="14"/>
      <c r="Z413" s="14"/>
      <c r="AA413" s="18"/>
      <c r="AB413" s="19"/>
      <c r="AC413" s="19"/>
      <c r="AD413" s="19"/>
      <c r="AE413" s="19"/>
      <c r="AF413" s="18"/>
      <c r="AG413" s="19"/>
      <c r="AH413" s="19"/>
      <c r="AI413" s="19"/>
      <c r="AJ413" s="19"/>
      <c r="AK413" s="18"/>
      <c r="AL413" s="19"/>
      <c r="AM413" s="19"/>
      <c r="AN413" s="19"/>
      <c r="AO413" s="19"/>
      <c r="AP413" s="18"/>
      <c r="AQ413" s="19"/>
      <c r="AR413" s="19"/>
      <c r="AS413" s="19"/>
      <c r="AT413" s="19"/>
      <c r="AU413" s="18"/>
      <c r="AV413" s="19"/>
      <c r="AW413" s="19"/>
      <c r="AX413" s="19"/>
      <c r="AY413" s="19"/>
      <c r="AZ413" s="18"/>
      <c r="BA413" s="19"/>
      <c r="BB413" s="19"/>
      <c r="BC413" s="19"/>
      <c r="BD413" s="19"/>
      <c r="BE413" s="18"/>
      <c r="BF413" s="19"/>
      <c r="BG413" s="19"/>
      <c r="BH413" s="19"/>
      <c r="BI413" s="19"/>
      <c r="BJ413" s="18"/>
      <c r="BK413" s="19"/>
      <c r="BL413" s="19"/>
      <c r="BM413" s="19"/>
      <c r="BN413" s="19"/>
      <c r="BO413" s="18"/>
      <c r="BP413" s="19"/>
      <c r="BQ413" s="19"/>
      <c r="BR413" s="19"/>
      <c r="BS413" s="19"/>
      <c r="BT413" s="18"/>
      <c r="BU413" s="19"/>
      <c r="BV413" s="19"/>
      <c r="BW413" s="19"/>
      <c r="BX413" s="19"/>
      <c r="BY413" s="18"/>
      <c r="BZ413" s="19"/>
      <c r="CA413" s="19"/>
      <c r="CB413" s="19"/>
      <c r="CC413" s="19"/>
      <c r="CD413" s="18"/>
      <c r="CE413" s="19"/>
      <c r="CF413" s="19"/>
      <c r="CG413" s="19"/>
      <c r="CH413" s="19"/>
      <c r="CI413" s="18"/>
      <c r="CJ413" s="19"/>
      <c r="CK413" s="19"/>
      <c r="CL413" s="19"/>
      <c r="CM413" s="19"/>
      <c r="CN413" s="22"/>
      <c r="CO413" s="22"/>
      <c r="CP413" s="22"/>
      <c r="CQ413" s="22"/>
      <c r="CR413" s="22"/>
      <c r="CS413" s="22"/>
      <c r="CT413" s="14"/>
    </row>
    <row r="414" spans="1:98" s="4" customFormat="1" x14ac:dyDescent="0.3">
      <c r="A414" s="14"/>
      <c r="B414" s="292"/>
      <c r="C414" s="292"/>
      <c r="D414" s="14"/>
      <c r="E414" s="14"/>
      <c r="F414" s="703"/>
      <c r="G414" s="14"/>
      <c r="H414" s="14"/>
      <c r="I414" s="14"/>
      <c r="J414" s="14"/>
      <c r="K414" s="14"/>
      <c r="L414" s="14"/>
      <c r="M414" s="14"/>
      <c r="N414" s="703"/>
      <c r="O414" s="111"/>
      <c r="P414" s="703"/>
      <c r="Q414" s="14"/>
      <c r="R414" s="14"/>
      <c r="S414" s="14"/>
      <c r="T414" s="14"/>
      <c r="U414" s="14"/>
      <c r="V414" s="14"/>
      <c r="W414" s="14"/>
      <c r="X414" s="14"/>
      <c r="Y414" s="14"/>
      <c r="Z414" s="14"/>
      <c r="AA414" s="18"/>
      <c r="AB414" s="19"/>
      <c r="AC414" s="19"/>
      <c r="AD414" s="19"/>
      <c r="AE414" s="19"/>
      <c r="AF414" s="18"/>
      <c r="AG414" s="19"/>
      <c r="AH414" s="19"/>
      <c r="AI414" s="19"/>
      <c r="AJ414" s="19"/>
      <c r="AK414" s="18"/>
      <c r="AL414" s="19"/>
      <c r="AM414" s="19"/>
      <c r="AN414" s="19"/>
      <c r="AO414" s="19"/>
      <c r="AP414" s="18"/>
      <c r="AQ414" s="19"/>
      <c r="AR414" s="19"/>
      <c r="AS414" s="19"/>
      <c r="AT414" s="19"/>
      <c r="AU414" s="18"/>
      <c r="AV414" s="19"/>
      <c r="AW414" s="19"/>
      <c r="AX414" s="19"/>
      <c r="AY414" s="19"/>
      <c r="AZ414" s="18"/>
      <c r="BA414" s="19"/>
      <c r="BB414" s="19"/>
      <c r="BC414" s="19"/>
      <c r="BD414" s="19"/>
      <c r="BE414" s="18"/>
      <c r="BF414" s="19"/>
      <c r="BG414" s="19"/>
      <c r="BH414" s="19"/>
      <c r="BI414" s="19"/>
      <c r="BJ414" s="18"/>
      <c r="BK414" s="19"/>
      <c r="BL414" s="19"/>
      <c r="BM414" s="19"/>
      <c r="BN414" s="19"/>
      <c r="BO414" s="18"/>
      <c r="BP414" s="19"/>
      <c r="BQ414" s="19"/>
      <c r="BR414" s="19"/>
      <c r="BS414" s="19"/>
      <c r="BT414" s="18"/>
      <c r="BU414" s="19"/>
      <c r="BV414" s="19"/>
      <c r="BW414" s="19"/>
      <c r="BX414" s="19"/>
      <c r="BY414" s="18"/>
      <c r="BZ414" s="19"/>
      <c r="CA414" s="19"/>
      <c r="CB414" s="19"/>
      <c r="CC414" s="19"/>
      <c r="CD414" s="18"/>
      <c r="CE414" s="19"/>
      <c r="CF414" s="19"/>
      <c r="CG414" s="19"/>
      <c r="CH414" s="19"/>
      <c r="CI414" s="18"/>
      <c r="CJ414" s="19"/>
      <c r="CK414" s="19"/>
      <c r="CL414" s="19"/>
      <c r="CM414" s="19"/>
      <c r="CN414" s="22"/>
      <c r="CO414" s="22"/>
      <c r="CP414" s="22"/>
      <c r="CQ414" s="22"/>
      <c r="CR414" s="22"/>
      <c r="CS414" s="22"/>
      <c r="CT414" s="14"/>
    </row>
    <row r="415" spans="1:98" s="4" customFormat="1" x14ac:dyDescent="0.3">
      <c r="A415" s="14"/>
      <c r="B415" s="292"/>
      <c r="C415" s="292"/>
      <c r="D415" s="14"/>
      <c r="E415" s="14"/>
      <c r="F415" s="703"/>
      <c r="G415" s="14"/>
      <c r="H415" s="14"/>
      <c r="I415" s="14"/>
      <c r="J415" s="14"/>
      <c r="K415" s="14"/>
      <c r="L415" s="14"/>
      <c r="M415" s="14"/>
      <c r="N415" s="703"/>
      <c r="O415" s="111"/>
      <c r="P415" s="703"/>
      <c r="Q415" s="14"/>
      <c r="R415" s="14"/>
      <c r="S415" s="14"/>
      <c r="T415" s="14"/>
      <c r="U415" s="14"/>
      <c r="V415" s="14"/>
      <c r="W415" s="14"/>
      <c r="X415" s="14"/>
      <c r="Y415" s="14"/>
      <c r="Z415" s="14"/>
      <c r="AA415" s="18"/>
      <c r="AB415" s="19"/>
      <c r="AC415" s="19"/>
      <c r="AD415" s="19"/>
      <c r="AE415" s="19"/>
      <c r="AF415" s="18"/>
      <c r="AG415" s="19"/>
      <c r="AH415" s="19"/>
      <c r="AI415" s="19"/>
      <c r="AJ415" s="19"/>
      <c r="AK415" s="18"/>
      <c r="AL415" s="19"/>
      <c r="AM415" s="19"/>
      <c r="AN415" s="19"/>
      <c r="AO415" s="19"/>
      <c r="AP415" s="18"/>
      <c r="AQ415" s="19"/>
      <c r="AR415" s="19"/>
      <c r="AS415" s="19"/>
      <c r="AT415" s="19"/>
      <c r="AU415" s="18"/>
      <c r="AV415" s="19"/>
      <c r="AW415" s="19"/>
      <c r="AX415" s="19"/>
      <c r="AY415" s="19"/>
      <c r="AZ415" s="18"/>
      <c r="BA415" s="19"/>
      <c r="BB415" s="19"/>
      <c r="BC415" s="19"/>
      <c r="BD415" s="19"/>
      <c r="BE415" s="18"/>
      <c r="BF415" s="19"/>
      <c r="BG415" s="19"/>
      <c r="BH415" s="19"/>
      <c r="BI415" s="19"/>
      <c r="BJ415" s="18"/>
      <c r="BK415" s="19"/>
      <c r="BL415" s="19"/>
      <c r="BM415" s="19"/>
      <c r="BN415" s="19"/>
      <c r="BO415" s="18"/>
      <c r="BP415" s="19"/>
      <c r="BQ415" s="19"/>
      <c r="BR415" s="19"/>
      <c r="BS415" s="19"/>
      <c r="BT415" s="18"/>
      <c r="BU415" s="19"/>
      <c r="BV415" s="19"/>
      <c r="BW415" s="19"/>
      <c r="BX415" s="19"/>
      <c r="BY415" s="18"/>
      <c r="BZ415" s="19"/>
      <c r="CA415" s="19"/>
      <c r="CB415" s="19"/>
      <c r="CC415" s="19"/>
      <c r="CD415" s="18"/>
      <c r="CE415" s="19"/>
      <c r="CF415" s="19"/>
      <c r="CG415" s="19"/>
      <c r="CH415" s="19"/>
      <c r="CI415" s="18"/>
      <c r="CJ415" s="19"/>
      <c r="CK415" s="19"/>
      <c r="CL415" s="19"/>
      <c r="CM415" s="19"/>
      <c r="CN415" s="22"/>
      <c r="CO415" s="22"/>
      <c r="CP415" s="22"/>
      <c r="CQ415" s="22"/>
      <c r="CR415" s="22"/>
      <c r="CS415" s="22"/>
      <c r="CT415" s="14"/>
    </row>
    <row r="416" spans="1:98" s="4" customFormat="1" x14ac:dyDescent="0.3">
      <c r="A416" s="14"/>
      <c r="B416" s="292"/>
      <c r="C416" s="292"/>
      <c r="D416" s="14"/>
      <c r="E416" s="14"/>
      <c r="F416" s="703"/>
      <c r="G416" s="14"/>
      <c r="H416" s="14"/>
      <c r="I416" s="14"/>
      <c r="J416" s="14"/>
      <c r="K416" s="14"/>
      <c r="L416" s="14"/>
      <c r="M416" s="14"/>
      <c r="N416" s="703"/>
      <c r="O416" s="111"/>
      <c r="P416" s="703"/>
      <c r="Q416" s="14"/>
      <c r="R416" s="14"/>
      <c r="S416" s="14"/>
      <c r="T416" s="14"/>
      <c r="U416" s="14"/>
      <c r="V416" s="14"/>
      <c r="W416" s="14"/>
      <c r="X416" s="14"/>
      <c r="Y416" s="14"/>
      <c r="Z416" s="14"/>
      <c r="AA416" s="18"/>
      <c r="AB416" s="19"/>
      <c r="AC416" s="19"/>
      <c r="AD416" s="19"/>
      <c r="AE416" s="19"/>
      <c r="AF416" s="18"/>
      <c r="AG416" s="19"/>
      <c r="AH416" s="19"/>
      <c r="AI416" s="19"/>
      <c r="AJ416" s="19"/>
      <c r="AK416" s="18"/>
      <c r="AL416" s="19"/>
      <c r="AM416" s="19"/>
      <c r="AN416" s="19"/>
      <c r="AO416" s="19"/>
      <c r="AP416" s="18"/>
      <c r="AQ416" s="19"/>
      <c r="AR416" s="19"/>
      <c r="AS416" s="19"/>
      <c r="AT416" s="19"/>
      <c r="AU416" s="18"/>
      <c r="AV416" s="19"/>
      <c r="AW416" s="19"/>
      <c r="AX416" s="19"/>
      <c r="AY416" s="19"/>
      <c r="AZ416" s="18"/>
      <c r="BA416" s="19"/>
      <c r="BB416" s="19"/>
      <c r="BC416" s="19"/>
      <c r="BD416" s="19"/>
      <c r="BE416" s="18"/>
      <c r="BF416" s="19"/>
      <c r="BG416" s="19"/>
      <c r="BH416" s="19"/>
      <c r="BI416" s="19"/>
      <c r="BJ416" s="18"/>
      <c r="BK416" s="19"/>
      <c r="BL416" s="19"/>
      <c r="BM416" s="19"/>
      <c r="BN416" s="19"/>
      <c r="BO416" s="18"/>
      <c r="BP416" s="19"/>
      <c r="BQ416" s="19"/>
      <c r="BR416" s="19"/>
      <c r="BS416" s="19"/>
      <c r="BT416" s="18"/>
      <c r="BU416" s="19"/>
      <c r="BV416" s="19"/>
      <c r="BW416" s="19"/>
      <c r="BX416" s="19"/>
      <c r="BY416" s="18"/>
      <c r="BZ416" s="19"/>
      <c r="CA416" s="19"/>
      <c r="CB416" s="19"/>
      <c r="CC416" s="19"/>
      <c r="CD416" s="18"/>
      <c r="CE416" s="19"/>
      <c r="CF416" s="19"/>
      <c r="CG416" s="19"/>
      <c r="CH416" s="19"/>
      <c r="CI416" s="18"/>
      <c r="CJ416" s="19"/>
      <c r="CK416" s="19"/>
      <c r="CL416" s="19"/>
      <c r="CM416" s="19"/>
      <c r="CN416" s="22"/>
      <c r="CO416" s="22"/>
      <c r="CP416" s="22"/>
      <c r="CQ416" s="22"/>
      <c r="CR416" s="22"/>
      <c r="CS416" s="22"/>
      <c r="CT416" s="14"/>
    </row>
    <row r="417" spans="1:98" s="4" customFormat="1" x14ac:dyDescent="0.3">
      <c r="A417" s="14"/>
      <c r="B417" s="292"/>
      <c r="C417" s="292"/>
      <c r="D417" s="14"/>
      <c r="E417" s="14"/>
      <c r="F417" s="703"/>
      <c r="G417" s="14"/>
      <c r="H417" s="14"/>
      <c r="I417" s="14"/>
      <c r="J417" s="14"/>
      <c r="K417" s="14"/>
      <c r="L417" s="14"/>
      <c r="M417" s="14"/>
      <c r="N417" s="703"/>
      <c r="O417" s="111"/>
      <c r="P417" s="703"/>
      <c r="Q417" s="14"/>
      <c r="R417" s="14"/>
      <c r="S417" s="14"/>
      <c r="T417" s="14"/>
      <c r="U417" s="14"/>
      <c r="V417" s="14"/>
      <c r="W417" s="14"/>
      <c r="X417" s="14"/>
      <c r="Y417" s="14"/>
      <c r="Z417" s="14"/>
      <c r="AA417" s="18"/>
      <c r="AB417" s="19"/>
      <c r="AC417" s="19"/>
      <c r="AD417" s="19"/>
      <c r="AE417" s="19"/>
      <c r="AF417" s="18"/>
      <c r="AG417" s="19"/>
      <c r="AH417" s="19"/>
      <c r="AI417" s="19"/>
      <c r="AJ417" s="19"/>
      <c r="AK417" s="18"/>
      <c r="AL417" s="19"/>
      <c r="AM417" s="19"/>
      <c r="AN417" s="19"/>
      <c r="AO417" s="19"/>
      <c r="AP417" s="18"/>
      <c r="AQ417" s="19"/>
      <c r="AR417" s="19"/>
      <c r="AS417" s="19"/>
      <c r="AT417" s="19"/>
      <c r="AU417" s="18"/>
      <c r="AV417" s="19"/>
      <c r="AW417" s="19"/>
      <c r="AX417" s="19"/>
      <c r="AY417" s="19"/>
      <c r="AZ417" s="18"/>
      <c r="BA417" s="19"/>
      <c r="BB417" s="19"/>
      <c r="BC417" s="19"/>
      <c r="BD417" s="19"/>
      <c r="BE417" s="18"/>
      <c r="BF417" s="19"/>
      <c r="BG417" s="19"/>
      <c r="BH417" s="19"/>
      <c r="BI417" s="19"/>
      <c r="BJ417" s="18"/>
      <c r="BK417" s="19"/>
      <c r="BL417" s="19"/>
      <c r="BM417" s="19"/>
      <c r="BN417" s="19"/>
      <c r="BO417" s="18"/>
      <c r="BP417" s="19"/>
      <c r="BQ417" s="19"/>
      <c r="BR417" s="19"/>
      <c r="BS417" s="19"/>
      <c r="BT417" s="18"/>
      <c r="BU417" s="19"/>
      <c r="BV417" s="19"/>
      <c r="BW417" s="19"/>
      <c r="BX417" s="19"/>
      <c r="BY417" s="18"/>
      <c r="BZ417" s="19"/>
      <c r="CA417" s="19"/>
      <c r="CB417" s="19"/>
      <c r="CC417" s="19"/>
      <c r="CD417" s="18"/>
      <c r="CE417" s="19"/>
      <c r="CF417" s="19"/>
      <c r="CG417" s="19"/>
      <c r="CH417" s="19"/>
      <c r="CI417" s="18"/>
      <c r="CJ417" s="19"/>
      <c r="CK417" s="19"/>
      <c r="CL417" s="19"/>
      <c r="CM417" s="19"/>
      <c r="CN417" s="22"/>
      <c r="CO417" s="22"/>
      <c r="CP417" s="22"/>
      <c r="CQ417" s="22"/>
      <c r="CR417" s="22"/>
      <c r="CS417" s="22"/>
      <c r="CT417" s="14"/>
    </row>
    <row r="418" spans="1:98" s="4" customFormat="1" x14ac:dyDescent="0.3">
      <c r="A418" s="14"/>
      <c r="B418" s="292"/>
      <c r="C418" s="292"/>
      <c r="D418" s="14"/>
      <c r="E418" s="14"/>
      <c r="F418" s="703"/>
      <c r="G418" s="14"/>
      <c r="H418" s="14"/>
      <c r="I418" s="14"/>
      <c r="J418" s="14"/>
      <c r="K418" s="14"/>
      <c r="L418" s="14"/>
      <c r="M418" s="14"/>
      <c r="N418" s="703"/>
      <c r="O418" s="111"/>
      <c r="P418" s="703"/>
      <c r="Q418" s="14"/>
      <c r="R418" s="14"/>
      <c r="S418" s="14"/>
      <c r="T418" s="14"/>
      <c r="U418" s="14"/>
      <c r="V418" s="14"/>
      <c r="W418" s="14"/>
      <c r="X418" s="14"/>
      <c r="Y418" s="14"/>
      <c r="Z418" s="14"/>
      <c r="AA418" s="18"/>
      <c r="AB418" s="19"/>
      <c r="AC418" s="19"/>
      <c r="AD418" s="19"/>
      <c r="AE418" s="19"/>
      <c r="AF418" s="18"/>
      <c r="AG418" s="19"/>
      <c r="AH418" s="19"/>
      <c r="AI418" s="19"/>
      <c r="AJ418" s="19"/>
      <c r="AK418" s="18"/>
      <c r="AL418" s="19"/>
      <c r="AM418" s="19"/>
      <c r="AN418" s="19"/>
      <c r="AO418" s="19"/>
      <c r="AP418" s="18"/>
      <c r="AQ418" s="19"/>
      <c r="AR418" s="19"/>
      <c r="AS418" s="19"/>
      <c r="AT418" s="19"/>
      <c r="AU418" s="18"/>
      <c r="AV418" s="19"/>
      <c r="AW418" s="19"/>
      <c r="AX418" s="19"/>
      <c r="AY418" s="19"/>
      <c r="AZ418" s="18"/>
      <c r="BA418" s="19"/>
      <c r="BB418" s="19"/>
      <c r="BC418" s="19"/>
      <c r="BD418" s="19"/>
      <c r="BE418" s="18"/>
      <c r="BF418" s="19"/>
      <c r="BG418" s="19"/>
      <c r="BH418" s="19"/>
      <c r="BI418" s="19"/>
      <c r="BJ418" s="18"/>
      <c r="BK418" s="19"/>
      <c r="BL418" s="19"/>
      <c r="BM418" s="19"/>
      <c r="BN418" s="19"/>
      <c r="BO418" s="18"/>
      <c r="BP418" s="19"/>
      <c r="BQ418" s="19"/>
      <c r="BR418" s="19"/>
      <c r="BS418" s="19"/>
      <c r="BT418" s="18"/>
      <c r="BU418" s="19"/>
      <c r="BV418" s="19"/>
      <c r="BW418" s="19"/>
      <c r="BX418" s="19"/>
      <c r="BY418" s="18"/>
      <c r="BZ418" s="19"/>
      <c r="CA418" s="19"/>
      <c r="CB418" s="19"/>
      <c r="CC418" s="19"/>
      <c r="CD418" s="18"/>
      <c r="CE418" s="19"/>
      <c r="CF418" s="19"/>
      <c r="CG418" s="19"/>
      <c r="CH418" s="19"/>
      <c r="CI418" s="18"/>
      <c r="CJ418" s="19"/>
      <c r="CK418" s="19"/>
      <c r="CL418" s="19"/>
      <c r="CM418" s="19"/>
      <c r="CN418" s="22"/>
      <c r="CO418" s="22"/>
      <c r="CP418" s="22"/>
      <c r="CQ418" s="22"/>
      <c r="CR418" s="22"/>
      <c r="CS418" s="22"/>
      <c r="CT418" s="14"/>
    </row>
    <row r="419" spans="1:98" s="426" customFormat="1" x14ac:dyDescent="0.3">
      <c r="A419" s="14"/>
      <c r="B419" s="292"/>
      <c r="C419" s="292"/>
      <c r="D419" s="14"/>
      <c r="E419" s="14"/>
      <c r="F419" s="703"/>
      <c r="G419" s="14"/>
      <c r="H419" s="14"/>
      <c r="I419" s="14"/>
      <c r="J419" s="14"/>
      <c r="K419" s="14"/>
      <c r="L419" s="14"/>
      <c r="M419" s="14"/>
      <c r="N419" s="703"/>
      <c r="O419" s="111"/>
      <c r="P419" s="703"/>
      <c r="Q419" s="14"/>
      <c r="R419" s="14"/>
      <c r="S419" s="14"/>
      <c r="T419" s="14"/>
      <c r="U419" s="14"/>
      <c r="V419" s="14"/>
      <c r="W419" s="14"/>
      <c r="X419" s="14"/>
      <c r="Y419" s="14"/>
      <c r="Z419" s="14"/>
      <c r="AA419" s="18"/>
      <c r="AB419" s="19"/>
      <c r="AC419" s="19"/>
      <c r="AD419" s="19"/>
      <c r="AE419" s="19"/>
      <c r="AF419" s="18"/>
      <c r="AG419" s="19"/>
      <c r="AH419" s="19"/>
      <c r="AI419" s="19"/>
      <c r="AJ419" s="19"/>
      <c r="AK419" s="18"/>
      <c r="AL419" s="19"/>
      <c r="AM419" s="19"/>
      <c r="AN419" s="19"/>
      <c r="AO419" s="19"/>
      <c r="AP419" s="18"/>
      <c r="AQ419" s="19"/>
      <c r="AR419" s="19"/>
      <c r="AS419" s="19"/>
      <c r="AT419" s="19"/>
      <c r="AU419" s="18"/>
      <c r="AV419" s="19"/>
      <c r="AW419" s="19"/>
      <c r="AX419" s="19"/>
      <c r="AY419" s="19"/>
      <c r="AZ419" s="18"/>
      <c r="BA419" s="19"/>
      <c r="BB419" s="19"/>
      <c r="BC419" s="19"/>
      <c r="BD419" s="19"/>
      <c r="BE419" s="18"/>
      <c r="BF419" s="19"/>
      <c r="BG419" s="19"/>
      <c r="BH419" s="19"/>
      <c r="BI419" s="19"/>
      <c r="BJ419" s="18"/>
      <c r="BK419" s="19"/>
      <c r="BL419" s="19"/>
      <c r="BM419" s="19"/>
      <c r="BN419" s="19"/>
      <c r="BO419" s="18"/>
      <c r="BP419" s="19"/>
      <c r="BQ419" s="19"/>
      <c r="BR419" s="19"/>
      <c r="BS419" s="19"/>
      <c r="BT419" s="18"/>
      <c r="BU419" s="19"/>
      <c r="BV419" s="19"/>
      <c r="BW419" s="19"/>
      <c r="BX419" s="19"/>
      <c r="BY419" s="18"/>
      <c r="BZ419" s="19"/>
      <c r="CA419" s="19"/>
      <c r="CB419" s="19"/>
      <c r="CC419" s="19"/>
      <c r="CD419" s="18"/>
      <c r="CE419" s="19"/>
      <c r="CF419" s="19"/>
      <c r="CG419" s="19"/>
      <c r="CH419" s="19"/>
      <c r="CI419" s="18"/>
      <c r="CJ419" s="19"/>
      <c r="CK419" s="19"/>
      <c r="CL419" s="19"/>
      <c r="CM419" s="19"/>
      <c r="CN419" s="22"/>
      <c r="CO419" s="22"/>
      <c r="CP419" s="22"/>
      <c r="CQ419" s="22"/>
      <c r="CR419" s="22"/>
      <c r="CS419" s="22"/>
      <c r="CT419" s="14"/>
    </row>
    <row r="420" spans="1:98" s="426" customFormat="1" x14ac:dyDescent="0.3">
      <c r="A420" s="14"/>
      <c r="B420" s="292"/>
      <c r="C420" s="292"/>
      <c r="D420" s="14"/>
      <c r="E420" s="14"/>
      <c r="F420" s="703"/>
      <c r="G420" s="14"/>
      <c r="H420" s="14"/>
      <c r="I420" s="14"/>
      <c r="J420" s="14"/>
      <c r="K420" s="14"/>
      <c r="L420" s="14"/>
      <c r="M420" s="14"/>
      <c r="N420" s="703"/>
      <c r="O420" s="111"/>
      <c r="P420" s="703"/>
      <c r="Q420" s="14"/>
      <c r="R420" s="14"/>
      <c r="S420" s="14"/>
      <c r="T420" s="14"/>
      <c r="U420" s="14"/>
      <c r="V420" s="14"/>
      <c r="W420" s="14"/>
      <c r="X420" s="14"/>
      <c r="Y420" s="14"/>
      <c r="Z420" s="14"/>
      <c r="AA420" s="18"/>
      <c r="AB420" s="19"/>
      <c r="AC420" s="19"/>
      <c r="AD420" s="19"/>
      <c r="AE420" s="19"/>
      <c r="AF420" s="18"/>
      <c r="AG420" s="19"/>
      <c r="AH420" s="19"/>
      <c r="AI420" s="19"/>
      <c r="AJ420" s="19"/>
      <c r="AK420" s="18"/>
      <c r="AL420" s="19"/>
      <c r="AM420" s="19"/>
      <c r="AN420" s="19"/>
      <c r="AO420" s="19"/>
      <c r="AP420" s="18"/>
      <c r="AQ420" s="19"/>
      <c r="AR420" s="19"/>
      <c r="AS420" s="19"/>
      <c r="AT420" s="19"/>
      <c r="AU420" s="18"/>
      <c r="AV420" s="19"/>
      <c r="AW420" s="19"/>
      <c r="AX420" s="19"/>
      <c r="AY420" s="19"/>
      <c r="AZ420" s="18"/>
      <c r="BA420" s="19"/>
      <c r="BB420" s="19"/>
      <c r="BC420" s="19"/>
      <c r="BD420" s="19"/>
      <c r="BE420" s="18"/>
      <c r="BF420" s="19"/>
      <c r="BG420" s="19"/>
      <c r="BH420" s="19"/>
      <c r="BI420" s="19"/>
      <c r="BJ420" s="18"/>
      <c r="BK420" s="19"/>
      <c r="BL420" s="19"/>
      <c r="BM420" s="19"/>
      <c r="BN420" s="19"/>
      <c r="BO420" s="18"/>
      <c r="BP420" s="19"/>
      <c r="BQ420" s="19"/>
      <c r="BR420" s="19"/>
      <c r="BS420" s="19"/>
      <c r="BT420" s="18"/>
      <c r="BU420" s="19"/>
      <c r="BV420" s="19"/>
      <c r="BW420" s="19"/>
      <c r="BX420" s="19"/>
      <c r="BY420" s="18"/>
      <c r="BZ420" s="19"/>
      <c r="CA420" s="19"/>
      <c r="CB420" s="19"/>
      <c r="CC420" s="19"/>
      <c r="CD420" s="18"/>
      <c r="CE420" s="19"/>
      <c r="CF420" s="19"/>
      <c r="CG420" s="19"/>
      <c r="CH420" s="19"/>
      <c r="CI420" s="18"/>
      <c r="CJ420" s="19"/>
      <c r="CK420" s="19"/>
      <c r="CL420" s="19"/>
      <c r="CM420" s="19"/>
      <c r="CN420" s="22" t="s">
        <v>1456</v>
      </c>
      <c r="CO420" s="22"/>
      <c r="CP420" s="22"/>
      <c r="CQ420" s="22"/>
      <c r="CR420" s="22"/>
      <c r="CS420" s="22"/>
      <c r="CT420" s="14"/>
    </row>
    <row r="421" spans="1:98" s="426" customFormat="1" x14ac:dyDescent="0.3">
      <c r="A421" s="14"/>
      <c r="B421" s="292"/>
      <c r="C421" s="292"/>
      <c r="D421" s="14"/>
      <c r="E421" s="14"/>
      <c r="F421" s="703"/>
      <c r="G421" s="14"/>
      <c r="H421" s="14"/>
      <c r="I421" s="14"/>
      <c r="J421" s="14"/>
      <c r="K421" s="14"/>
      <c r="L421" s="14"/>
      <c r="M421" s="14"/>
      <c r="N421" s="703"/>
      <c r="O421" s="111"/>
      <c r="P421" s="703"/>
      <c r="Q421" s="14"/>
      <c r="R421" s="14"/>
      <c r="S421" s="14"/>
      <c r="T421" s="14"/>
      <c r="U421" s="14"/>
      <c r="V421" s="14"/>
      <c r="W421" s="14"/>
      <c r="X421" s="14"/>
      <c r="Y421" s="14"/>
      <c r="Z421" s="14"/>
      <c r="AA421" s="18"/>
      <c r="AB421" s="19"/>
      <c r="AC421" s="19"/>
      <c r="AD421" s="19"/>
      <c r="AE421" s="19"/>
      <c r="AF421" s="18"/>
      <c r="AG421" s="19"/>
      <c r="AH421" s="19"/>
      <c r="AI421" s="19"/>
      <c r="AJ421" s="19"/>
      <c r="AK421" s="18"/>
      <c r="AL421" s="19"/>
      <c r="AM421" s="19"/>
      <c r="AN421" s="19"/>
      <c r="AO421" s="19"/>
      <c r="AP421" s="18"/>
      <c r="AQ421" s="19"/>
      <c r="AR421" s="19"/>
      <c r="AS421" s="19"/>
      <c r="AT421" s="19"/>
      <c r="AU421" s="18"/>
      <c r="AV421" s="19"/>
      <c r="AW421" s="19"/>
      <c r="AX421" s="19"/>
      <c r="AY421" s="19"/>
      <c r="AZ421" s="18"/>
      <c r="BA421" s="19"/>
      <c r="BB421" s="19"/>
      <c r="BC421" s="19"/>
      <c r="BD421" s="19"/>
      <c r="BE421" s="18"/>
      <c r="BF421" s="19"/>
      <c r="BG421" s="19"/>
      <c r="BH421" s="19"/>
      <c r="BI421" s="19"/>
      <c r="BJ421" s="18"/>
      <c r="BK421" s="19"/>
      <c r="BL421" s="19"/>
      <c r="BM421" s="19"/>
      <c r="BN421" s="19"/>
      <c r="BO421" s="18"/>
      <c r="BP421" s="19"/>
      <c r="BQ421" s="19"/>
      <c r="BR421" s="19"/>
      <c r="BS421" s="19"/>
      <c r="BT421" s="18"/>
      <c r="BU421" s="19"/>
      <c r="BV421" s="19"/>
      <c r="BW421" s="19"/>
      <c r="BX421" s="19"/>
      <c r="BY421" s="18"/>
      <c r="BZ421" s="19"/>
      <c r="CA421" s="19"/>
      <c r="CB421" s="19"/>
      <c r="CC421" s="19"/>
      <c r="CD421" s="18"/>
      <c r="CE421" s="19"/>
      <c r="CF421" s="19"/>
      <c r="CG421" s="19"/>
      <c r="CH421" s="19"/>
      <c r="CI421" s="18"/>
      <c r="CJ421" s="19"/>
      <c r="CK421" s="19"/>
      <c r="CL421" s="19"/>
      <c r="CM421" s="19"/>
      <c r="CN421" s="22"/>
      <c r="CO421" s="22"/>
      <c r="CP421" s="22"/>
      <c r="CQ421" s="22"/>
      <c r="CR421" s="22"/>
      <c r="CS421" s="22"/>
      <c r="CT421" s="14"/>
    </row>
    <row r="422" spans="1:98" s="426" customFormat="1" x14ac:dyDescent="0.3">
      <c r="A422" s="14"/>
      <c r="B422" s="292"/>
      <c r="C422" s="292"/>
      <c r="D422" s="14"/>
      <c r="E422" s="14"/>
      <c r="F422" s="703"/>
      <c r="G422" s="14"/>
      <c r="H422" s="14"/>
      <c r="I422" s="14"/>
      <c r="J422" s="14"/>
      <c r="K422" s="14"/>
      <c r="L422" s="14"/>
      <c r="M422" s="14"/>
      <c r="N422" s="703"/>
      <c r="O422" s="111"/>
      <c r="P422" s="703"/>
      <c r="Q422" s="14"/>
      <c r="R422" s="14"/>
      <c r="S422" s="14"/>
      <c r="T422" s="14"/>
      <c r="U422" s="14"/>
      <c r="V422" s="14"/>
      <c r="W422" s="14"/>
      <c r="X422" s="14"/>
      <c r="Y422" s="14"/>
      <c r="Z422" s="14"/>
      <c r="AA422" s="18"/>
      <c r="AB422" s="19"/>
      <c r="AC422" s="19"/>
      <c r="AD422" s="19"/>
      <c r="AE422" s="19"/>
      <c r="AF422" s="18"/>
      <c r="AG422" s="19"/>
      <c r="AH422" s="19"/>
      <c r="AI422" s="19"/>
      <c r="AJ422" s="19"/>
      <c r="AK422" s="18"/>
      <c r="AL422" s="19"/>
      <c r="AM422" s="19"/>
      <c r="AN422" s="19"/>
      <c r="AO422" s="19"/>
      <c r="AP422" s="18"/>
      <c r="AQ422" s="19"/>
      <c r="AR422" s="19"/>
      <c r="AS422" s="19"/>
      <c r="AT422" s="19"/>
      <c r="AU422" s="18"/>
      <c r="AV422" s="19"/>
      <c r="AW422" s="19"/>
      <c r="AX422" s="19"/>
      <c r="AY422" s="19"/>
      <c r="AZ422" s="18"/>
      <c r="BA422" s="19"/>
      <c r="BB422" s="19"/>
      <c r="BC422" s="19"/>
      <c r="BD422" s="19"/>
      <c r="BE422" s="18"/>
      <c r="BF422" s="19"/>
      <c r="BG422" s="19"/>
      <c r="BH422" s="19"/>
      <c r="BI422" s="19"/>
      <c r="BJ422" s="18"/>
      <c r="BK422" s="19"/>
      <c r="BL422" s="19"/>
      <c r="BM422" s="19"/>
      <c r="BN422" s="19"/>
      <c r="BO422" s="18"/>
      <c r="BP422" s="19"/>
      <c r="BQ422" s="19"/>
      <c r="BR422" s="19"/>
      <c r="BS422" s="19"/>
      <c r="BT422" s="18"/>
      <c r="BU422" s="19"/>
      <c r="BV422" s="19"/>
      <c r="BW422" s="19"/>
      <c r="BX422" s="19"/>
      <c r="BY422" s="18"/>
      <c r="BZ422" s="19"/>
      <c r="CA422" s="19"/>
      <c r="CB422" s="19"/>
      <c r="CC422" s="19"/>
      <c r="CD422" s="18"/>
      <c r="CE422" s="19"/>
      <c r="CF422" s="19"/>
      <c r="CG422" s="19"/>
      <c r="CH422" s="19"/>
      <c r="CI422" s="18"/>
      <c r="CJ422" s="19"/>
      <c r="CK422" s="19"/>
      <c r="CL422" s="19"/>
      <c r="CM422" s="19"/>
      <c r="CN422" s="22"/>
      <c r="CO422" s="22"/>
      <c r="CP422" s="22"/>
      <c r="CQ422" s="22"/>
      <c r="CR422" s="22"/>
      <c r="CS422" s="22"/>
      <c r="CT422" s="14"/>
    </row>
    <row r="423" spans="1:98" s="426" customFormat="1" x14ac:dyDescent="0.3">
      <c r="A423" s="14"/>
      <c r="B423" s="292"/>
      <c r="C423" s="292"/>
      <c r="D423" s="14"/>
      <c r="E423" s="14"/>
      <c r="F423" s="703"/>
      <c r="G423" s="14"/>
      <c r="H423" s="14"/>
      <c r="I423" s="14"/>
      <c r="J423" s="14"/>
      <c r="K423" s="14"/>
      <c r="L423" s="14"/>
      <c r="M423" s="14"/>
      <c r="N423" s="703"/>
      <c r="O423" s="111"/>
      <c r="P423" s="703"/>
      <c r="Q423" s="14"/>
      <c r="R423" s="14"/>
      <c r="S423" s="14"/>
      <c r="T423" s="14"/>
      <c r="U423" s="14"/>
      <c r="V423" s="14"/>
      <c r="W423" s="14"/>
      <c r="X423" s="14"/>
      <c r="Y423" s="14"/>
      <c r="Z423" s="14"/>
      <c r="AA423" s="18"/>
      <c r="AB423" s="19"/>
      <c r="AC423" s="19"/>
      <c r="AD423" s="19"/>
      <c r="AE423" s="19"/>
      <c r="AF423" s="18"/>
      <c r="AG423" s="19"/>
      <c r="AH423" s="19"/>
      <c r="AI423" s="19"/>
      <c r="AJ423" s="19"/>
      <c r="AK423" s="18"/>
      <c r="AL423" s="19"/>
      <c r="AM423" s="19"/>
      <c r="AN423" s="19"/>
      <c r="AO423" s="19"/>
      <c r="AP423" s="18"/>
      <c r="AQ423" s="19"/>
      <c r="AR423" s="19"/>
      <c r="AS423" s="19"/>
      <c r="AT423" s="19"/>
      <c r="AU423" s="18"/>
      <c r="AV423" s="19"/>
      <c r="AW423" s="19"/>
      <c r="AX423" s="19"/>
      <c r="AY423" s="19"/>
      <c r="AZ423" s="18"/>
      <c r="BA423" s="19"/>
      <c r="BB423" s="19"/>
      <c r="BC423" s="19"/>
      <c r="BD423" s="19"/>
      <c r="BE423" s="18"/>
      <c r="BF423" s="19"/>
      <c r="BG423" s="19"/>
      <c r="BH423" s="19"/>
      <c r="BI423" s="19"/>
      <c r="BJ423" s="18"/>
      <c r="BK423" s="19"/>
      <c r="BL423" s="19"/>
      <c r="BM423" s="19"/>
      <c r="BN423" s="19"/>
      <c r="BO423" s="18"/>
      <c r="BP423" s="19"/>
      <c r="BQ423" s="19"/>
      <c r="BR423" s="19"/>
      <c r="BS423" s="19"/>
      <c r="BT423" s="18"/>
      <c r="BU423" s="19"/>
      <c r="BV423" s="19"/>
      <c r="BW423" s="19"/>
      <c r="BX423" s="19"/>
      <c r="BY423" s="18"/>
      <c r="BZ423" s="19"/>
      <c r="CA423" s="19"/>
      <c r="CB423" s="19"/>
      <c r="CC423" s="19"/>
      <c r="CD423" s="18"/>
      <c r="CE423" s="19"/>
      <c r="CF423" s="19"/>
      <c r="CG423" s="19"/>
      <c r="CH423" s="19"/>
      <c r="CI423" s="18"/>
      <c r="CJ423" s="19"/>
      <c r="CK423" s="19"/>
      <c r="CL423" s="19"/>
      <c r="CM423" s="19"/>
      <c r="CN423" s="22"/>
      <c r="CO423" s="22"/>
      <c r="CP423" s="22"/>
      <c r="CQ423" s="22"/>
      <c r="CR423" s="22"/>
      <c r="CS423" s="22"/>
      <c r="CT423" s="14"/>
    </row>
    <row r="424" spans="1:98" s="426" customFormat="1" x14ac:dyDescent="0.3">
      <c r="A424" s="14"/>
      <c r="B424" s="292"/>
      <c r="C424" s="292"/>
      <c r="D424" s="14"/>
      <c r="E424" s="14"/>
      <c r="F424" s="703"/>
      <c r="G424" s="14"/>
      <c r="H424" s="14"/>
      <c r="I424" s="14"/>
      <c r="J424" s="14"/>
      <c r="K424" s="14"/>
      <c r="L424" s="14"/>
      <c r="M424" s="14"/>
      <c r="N424" s="703"/>
      <c r="O424" s="111"/>
      <c r="P424" s="703"/>
      <c r="Q424" s="14"/>
      <c r="R424" s="14"/>
      <c r="S424" s="14"/>
      <c r="T424" s="14"/>
      <c r="U424" s="14"/>
      <c r="V424" s="14"/>
      <c r="W424" s="14"/>
      <c r="X424" s="14"/>
      <c r="Y424" s="14"/>
      <c r="Z424" s="14"/>
      <c r="AA424" s="18"/>
      <c r="AB424" s="19"/>
      <c r="AC424" s="19"/>
      <c r="AD424" s="19"/>
      <c r="AE424" s="19"/>
      <c r="AF424" s="18"/>
      <c r="AG424" s="19"/>
      <c r="AH424" s="19"/>
      <c r="AI424" s="19"/>
      <c r="AJ424" s="19"/>
      <c r="AK424" s="18"/>
      <c r="AL424" s="19"/>
      <c r="AM424" s="19"/>
      <c r="AN424" s="19"/>
      <c r="AO424" s="19"/>
      <c r="AP424" s="18"/>
      <c r="AQ424" s="19"/>
      <c r="AR424" s="19"/>
      <c r="AS424" s="19"/>
      <c r="AT424" s="19"/>
      <c r="AU424" s="18"/>
      <c r="AV424" s="19"/>
      <c r="AW424" s="19"/>
      <c r="AX424" s="19"/>
      <c r="AY424" s="19"/>
      <c r="AZ424" s="18"/>
      <c r="BA424" s="19"/>
      <c r="BB424" s="19"/>
      <c r="BC424" s="19"/>
      <c r="BD424" s="19"/>
      <c r="BE424" s="18"/>
      <c r="BF424" s="19"/>
      <c r="BG424" s="19"/>
      <c r="BH424" s="19"/>
      <c r="BI424" s="19"/>
      <c r="BJ424" s="18"/>
      <c r="BK424" s="19"/>
      <c r="BL424" s="19"/>
      <c r="BM424" s="19"/>
      <c r="BN424" s="19"/>
      <c r="BO424" s="18"/>
      <c r="BP424" s="19"/>
      <c r="BQ424" s="19"/>
      <c r="BR424" s="19"/>
      <c r="BS424" s="19"/>
      <c r="BT424" s="18"/>
      <c r="BU424" s="19"/>
      <c r="BV424" s="19"/>
      <c r="BW424" s="19"/>
      <c r="BX424" s="19"/>
      <c r="BY424" s="18"/>
      <c r="BZ424" s="19"/>
      <c r="CA424" s="19"/>
      <c r="CB424" s="19"/>
      <c r="CC424" s="19"/>
      <c r="CD424" s="18"/>
      <c r="CE424" s="19"/>
      <c r="CF424" s="19"/>
      <c r="CG424" s="19"/>
      <c r="CH424" s="19"/>
      <c r="CI424" s="18"/>
      <c r="CJ424" s="19"/>
      <c r="CK424" s="19"/>
      <c r="CL424" s="19"/>
      <c r="CM424" s="19"/>
      <c r="CN424" s="22"/>
      <c r="CO424" s="22"/>
      <c r="CP424" s="22"/>
      <c r="CQ424" s="22"/>
      <c r="CR424" s="22"/>
      <c r="CS424" s="22"/>
      <c r="CT424" s="14"/>
    </row>
    <row r="425" spans="1:98" s="426" customFormat="1" x14ac:dyDescent="0.3">
      <c r="A425" s="14"/>
      <c r="B425" s="292"/>
      <c r="C425" s="292"/>
      <c r="D425" s="14"/>
      <c r="E425" s="14"/>
      <c r="F425" s="703"/>
      <c r="G425" s="14"/>
      <c r="H425" s="14"/>
      <c r="I425" s="14"/>
      <c r="J425" s="14"/>
      <c r="K425" s="14"/>
      <c r="L425" s="14"/>
      <c r="M425" s="14"/>
      <c r="N425" s="703"/>
      <c r="O425" s="111"/>
      <c r="P425" s="703"/>
      <c r="Q425" s="14"/>
      <c r="R425" s="14"/>
      <c r="S425" s="14"/>
      <c r="T425" s="14"/>
      <c r="U425" s="14"/>
      <c r="V425" s="14"/>
      <c r="W425" s="14"/>
      <c r="X425" s="14"/>
      <c r="Y425" s="14"/>
      <c r="Z425" s="14"/>
      <c r="AA425" s="18"/>
      <c r="AB425" s="19"/>
      <c r="AC425" s="19"/>
      <c r="AD425" s="19"/>
      <c r="AE425" s="19"/>
      <c r="AF425" s="18"/>
      <c r="AG425" s="19"/>
      <c r="AH425" s="19"/>
      <c r="AI425" s="19"/>
      <c r="AJ425" s="19"/>
      <c r="AK425" s="18"/>
      <c r="AL425" s="19"/>
      <c r="AM425" s="19"/>
      <c r="AN425" s="19"/>
      <c r="AO425" s="19"/>
      <c r="AP425" s="18"/>
      <c r="AQ425" s="19"/>
      <c r="AR425" s="19"/>
      <c r="AS425" s="19"/>
      <c r="AT425" s="19"/>
      <c r="AU425" s="18"/>
      <c r="AV425" s="19"/>
      <c r="AW425" s="19"/>
      <c r="AX425" s="19"/>
      <c r="AY425" s="19"/>
      <c r="AZ425" s="18"/>
      <c r="BA425" s="19"/>
      <c r="BB425" s="19"/>
      <c r="BC425" s="19"/>
      <c r="BD425" s="19"/>
      <c r="BE425" s="18"/>
      <c r="BF425" s="19"/>
      <c r="BG425" s="19"/>
      <c r="BH425" s="19"/>
      <c r="BI425" s="19"/>
      <c r="BJ425" s="18"/>
      <c r="BK425" s="19"/>
      <c r="BL425" s="19"/>
      <c r="BM425" s="19"/>
      <c r="BN425" s="19"/>
      <c r="BO425" s="18"/>
      <c r="BP425" s="19"/>
      <c r="BQ425" s="19"/>
      <c r="BR425" s="19"/>
      <c r="BS425" s="19"/>
      <c r="BT425" s="18"/>
      <c r="BU425" s="19"/>
      <c r="BV425" s="19"/>
      <c r="BW425" s="19"/>
      <c r="BX425" s="19"/>
      <c r="BY425" s="18"/>
      <c r="BZ425" s="19"/>
      <c r="CA425" s="19"/>
      <c r="CB425" s="19"/>
      <c r="CC425" s="19"/>
      <c r="CD425" s="18"/>
      <c r="CE425" s="19"/>
      <c r="CF425" s="19"/>
      <c r="CG425" s="19"/>
      <c r="CH425" s="19"/>
      <c r="CI425" s="18"/>
      <c r="CJ425" s="19"/>
      <c r="CK425" s="19"/>
      <c r="CL425" s="19"/>
      <c r="CM425" s="19"/>
      <c r="CN425" s="22"/>
      <c r="CO425" s="22"/>
      <c r="CP425" s="22"/>
      <c r="CQ425" s="22"/>
      <c r="CR425" s="22"/>
      <c r="CS425" s="22"/>
      <c r="CT425" s="14"/>
    </row>
    <row r="426" spans="1:98" s="426" customFormat="1" x14ac:dyDescent="0.3">
      <c r="A426" s="14"/>
      <c r="B426" s="292"/>
      <c r="C426" s="292"/>
      <c r="D426" s="14"/>
      <c r="E426" s="14"/>
      <c r="F426" s="703"/>
      <c r="G426" s="14"/>
      <c r="H426" s="14"/>
      <c r="I426" s="14"/>
      <c r="J426" s="14"/>
      <c r="K426" s="14"/>
      <c r="L426" s="14"/>
      <c r="M426" s="14"/>
      <c r="N426" s="703"/>
      <c r="O426" s="111"/>
      <c r="P426" s="703"/>
      <c r="Q426" s="14"/>
      <c r="R426" s="14"/>
      <c r="S426" s="14"/>
      <c r="T426" s="14"/>
      <c r="U426" s="14"/>
      <c r="V426" s="14"/>
      <c r="W426" s="14"/>
      <c r="X426" s="14"/>
      <c r="Y426" s="14"/>
      <c r="Z426" s="14"/>
      <c r="AA426" s="18"/>
      <c r="AB426" s="19"/>
      <c r="AC426" s="19"/>
      <c r="AD426" s="19"/>
      <c r="AE426" s="19"/>
      <c r="AF426" s="18"/>
      <c r="AG426" s="19"/>
      <c r="AH426" s="19"/>
      <c r="AI426" s="19"/>
      <c r="AJ426" s="19"/>
      <c r="AK426" s="18"/>
      <c r="AL426" s="19"/>
      <c r="AM426" s="19"/>
      <c r="AN426" s="19"/>
      <c r="AO426" s="19"/>
      <c r="AP426" s="18"/>
      <c r="AQ426" s="19"/>
      <c r="AR426" s="19"/>
      <c r="AS426" s="19"/>
      <c r="AT426" s="19"/>
      <c r="AU426" s="18"/>
      <c r="AV426" s="19"/>
      <c r="AW426" s="19"/>
      <c r="AX426" s="19"/>
      <c r="AY426" s="19"/>
      <c r="AZ426" s="18"/>
      <c r="BA426" s="19"/>
      <c r="BB426" s="19"/>
      <c r="BC426" s="19"/>
      <c r="BD426" s="19"/>
      <c r="BE426" s="18"/>
      <c r="BF426" s="19"/>
      <c r="BG426" s="19"/>
      <c r="BH426" s="19"/>
      <c r="BI426" s="19"/>
      <c r="BJ426" s="18"/>
      <c r="BK426" s="19"/>
      <c r="BL426" s="19"/>
      <c r="BM426" s="19"/>
      <c r="BN426" s="19"/>
      <c r="BO426" s="18"/>
      <c r="BP426" s="19"/>
      <c r="BQ426" s="19"/>
      <c r="BR426" s="19"/>
      <c r="BS426" s="19"/>
      <c r="BT426" s="18"/>
      <c r="BU426" s="19"/>
      <c r="BV426" s="19"/>
      <c r="BW426" s="19"/>
      <c r="BX426" s="19"/>
      <c r="BY426" s="18"/>
      <c r="BZ426" s="19"/>
      <c r="CA426" s="19"/>
      <c r="CB426" s="19"/>
      <c r="CC426" s="19"/>
      <c r="CD426" s="18"/>
      <c r="CE426" s="19"/>
      <c r="CF426" s="19"/>
      <c r="CG426" s="19"/>
      <c r="CH426" s="19"/>
      <c r="CI426" s="18"/>
      <c r="CJ426" s="19"/>
      <c r="CK426" s="19"/>
      <c r="CL426" s="19"/>
      <c r="CM426" s="19"/>
      <c r="CN426" s="22"/>
      <c r="CO426" s="22"/>
      <c r="CP426" s="22"/>
      <c r="CQ426" s="22"/>
      <c r="CR426" s="22"/>
      <c r="CS426" s="22"/>
      <c r="CT426" s="14"/>
    </row>
    <row r="427" spans="1:98" s="426" customFormat="1" x14ac:dyDescent="0.3">
      <c r="A427" s="14"/>
      <c r="B427" s="292"/>
      <c r="C427" s="292"/>
      <c r="D427" s="14"/>
      <c r="E427" s="14"/>
      <c r="F427" s="703"/>
      <c r="G427" s="14"/>
      <c r="H427" s="14"/>
      <c r="I427" s="14"/>
      <c r="J427" s="14"/>
      <c r="K427" s="14"/>
      <c r="L427" s="14"/>
      <c r="M427" s="14"/>
      <c r="N427" s="703"/>
      <c r="O427" s="111"/>
      <c r="P427" s="703"/>
      <c r="Q427" s="14"/>
      <c r="R427" s="14"/>
      <c r="S427" s="14"/>
      <c r="T427" s="14"/>
      <c r="U427" s="14"/>
      <c r="V427" s="14"/>
      <c r="W427" s="14"/>
      <c r="X427" s="14"/>
      <c r="Y427" s="14"/>
      <c r="Z427" s="14"/>
      <c r="AA427" s="18"/>
      <c r="AB427" s="19"/>
      <c r="AC427" s="19"/>
      <c r="AD427" s="19"/>
      <c r="AE427" s="19"/>
      <c r="AF427" s="18"/>
      <c r="AG427" s="19"/>
      <c r="AH427" s="19"/>
      <c r="AI427" s="19"/>
      <c r="AJ427" s="19"/>
      <c r="AK427" s="18"/>
      <c r="AL427" s="19"/>
      <c r="AM427" s="19"/>
      <c r="AN427" s="19"/>
      <c r="AO427" s="19"/>
      <c r="AP427" s="18"/>
      <c r="AQ427" s="19"/>
      <c r="AR427" s="19"/>
      <c r="AS427" s="19"/>
      <c r="AT427" s="19"/>
      <c r="AU427" s="18"/>
      <c r="AV427" s="19"/>
      <c r="AW427" s="19"/>
      <c r="AX427" s="19"/>
      <c r="AY427" s="19"/>
      <c r="AZ427" s="18"/>
      <c r="BA427" s="19"/>
      <c r="BB427" s="19"/>
      <c r="BC427" s="19"/>
      <c r="BD427" s="19"/>
      <c r="BE427" s="18"/>
      <c r="BF427" s="19"/>
      <c r="BG427" s="19"/>
      <c r="BH427" s="19"/>
      <c r="BI427" s="19"/>
      <c r="BJ427" s="18"/>
      <c r="BK427" s="19"/>
      <c r="BL427" s="19"/>
      <c r="BM427" s="19"/>
      <c r="BN427" s="19"/>
      <c r="BO427" s="18"/>
      <c r="BP427" s="19"/>
      <c r="BQ427" s="19"/>
      <c r="BR427" s="19"/>
      <c r="BS427" s="19"/>
      <c r="BT427" s="18"/>
      <c r="BU427" s="19"/>
      <c r="BV427" s="19"/>
      <c r="BW427" s="19"/>
      <c r="BX427" s="19"/>
      <c r="BY427" s="18"/>
      <c r="BZ427" s="19"/>
      <c r="CA427" s="19"/>
      <c r="CB427" s="19"/>
      <c r="CC427" s="19"/>
      <c r="CD427" s="18"/>
      <c r="CE427" s="19"/>
      <c r="CF427" s="19"/>
      <c r="CG427" s="19"/>
      <c r="CH427" s="19"/>
      <c r="CI427" s="18"/>
      <c r="CJ427" s="19"/>
      <c r="CK427" s="19"/>
      <c r="CL427" s="19"/>
      <c r="CM427" s="19"/>
      <c r="CN427" s="22"/>
      <c r="CO427" s="22"/>
      <c r="CP427" s="22"/>
      <c r="CQ427" s="22"/>
      <c r="CR427" s="22"/>
      <c r="CS427" s="22"/>
      <c r="CT427" s="14"/>
    </row>
    <row r="428" spans="1:98" s="426" customFormat="1" x14ac:dyDescent="0.3">
      <c r="A428" s="14"/>
      <c r="B428" s="292"/>
      <c r="C428" s="292"/>
      <c r="D428" s="14"/>
      <c r="E428" s="14"/>
      <c r="F428" s="703"/>
      <c r="G428" s="14"/>
      <c r="H428" s="14"/>
      <c r="I428" s="14"/>
      <c r="J428" s="14"/>
      <c r="K428" s="14"/>
      <c r="L428" s="14"/>
      <c r="M428" s="14"/>
      <c r="N428" s="703"/>
      <c r="O428" s="111"/>
      <c r="P428" s="703"/>
      <c r="Q428" s="14"/>
      <c r="R428" s="14"/>
      <c r="S428" s="14"/>
      <c r="T428" s="14"/>
      <c r="U428" s="14"/>
      <c r="V428" s="14"/>
      <c r="W428" s="14"/>
      <c r="X428" s="14"/>
      <c r="Y428" s="14"/>
      <c r="Z428" s="14"/>
      <c r="AA428" s="18"/>
      <c r="AB428" s="19"/>
      <c r="AC428" s="19"/>
      <c r="AD428" s="19"/>
      <c r="AE428" s="19"/>
      <c r="AF428" s="18"/>
      <c r="AG428" s="19"/>
      <c r="AH428" s="19"/>
      <c r="AI428" s="19"/>
      <c r="AJ428" s="19"/>
      <c r="AK428" s="18"/>
      <c r="AL428" s="19"/>
      <c r="AM428" s="19"/>
      <c r="AN428" s="19"/>
      <c r="AO428" s="19"/>
      <c r="AP428" s="18"/>
      <c r="AQ428" s="19"/>
      <c r="AR428" s="19"/>
      <c r="AS428" s="19"/>
      <c r="AT428" s="19"/>
      <c r="AU428" s="18"/>
      <c r="AV428" s="19"/>
      <c r="AW428" s="19"/>
      <c r="AX428" s="19"/>
      <c r="AY428" s="19"/>
      <c r="AZ428" s="18"/>
      <c r="BA428" s="19"/>
      <c r="BB428" s="19"/>
      <c r="BC428" s="19"/>
      <c r="BD428" s="19"/>
      <c r="BE428" s="18"/>
      <c r="BF428" s="19"/>
      <c r="BG428" s="19"/>
      <c r="BH428" s="19"/>
      <c r="BI428" s="19"/>
      <c r="BJ428" s="18"/>
      <c r="BK428" s="19"/>
      <c r="BL428" s="19"/>
      <c r="BM428" s="19"/>
      <c r="BN428" s="19"/>
      <c r="BO428" s="18"/>
      <c r="BP428" s="19"/>
      <c r="BQ428" s="19"/>
      <c r="BR428" s="19"/>
      <c r="BS428" s="19"/>
      <c r="BT428" s="18"/>
      <c r="BU428" s="19"/>
      <c r="BV428" s="19"/>
      <c r="BW428" s="19"/>
      <c r="BX428" s="19"/>
      <c r="BY428" s="18"/>
      <c r="BZ428" s="19"/>
      <c r="CA428" s="19"/>
      <c r="CB428" s="19"/>
      <c r="CC428" s="19"/>
      <c r="CD428" s="18"/>
      <c r="CE428" s="19"/>
      <c r="CF428" s="19"/>
      <c r="CG428" s="19"/>
      <c r="CH428" s="19"/>
      <c r="CI428" s="18"/>
      <c r="CJ428" s="19"/>
      <c r="CK428" s="19"/>
      <c r="CL428" s="19"/>
      <c r="CM428" s="19"/>
      <c r="CN428" s="22"/>
      <c r="CO428" s="22"/>
      <c r="CP428" s="22"/>
      <c r="CQ428" s="22"/>
      <c r="CR428" s="22"/>
      <c r="CS428" s="22"/>
      <c r="CT428" s="14"/>
    </row>
    <row r="429" spans="1:98" s="426" customFormat="1" x14ac:dyDescent="0.3">
      <c r="A429" s="14"/>
      <c r="B429" s="292"/>
      <c r="C429" s="292"/>
      <c r="D429" s="14"/>
      <c r="E429" s="14"/>
      <c r="F429" s="703"/>
      <c r="G429" s="14"/>
      <c r="H429" s="14"/>
      <c r="I429" s="14"/>
      <c r="J429" s="14"/>
      <c r="K429" s="14"/>
      <c r="L429" s="14"/>
      <c r="M429" s="14"/>
      <c r="N429" s="703"/>
      <c r="O429" s="111"/>
      <c r="P429" s="703"/>
      <c r="Q429" s="14"/>
      <c r="R429" s="14"/>
      <c r="S429" s="14"/>
      <c r="T429" s="14"/>
      <c r="U429" s="14"/>
      <c r="V429" s="14"/>
      <c r="W429" s="14"/>
      <c r="X429" s="14"/>
      <c r="Y429" s="14"/>
      <c r="Z429" s="14"/>
      <c r="AA429" s="18"/>
      <c r="AB429" s="19"/>
      <c r="AC429" s="19"/>
      <c r="AD429" s="19"/>
      <c r="AE429" s="19"/>
      <c r="AF429" s="18"/>
      <c r="AG429" s="19"/>
      <c r="AH429" s="19"/>
      <c r="AI429" s="19"/>
      <c r="AJ429" s="19"/>
      <c r="AK429" s="18"/>
      <c r="AL429" s="19"/>
      <c r="AM429" s="19"/>
      <c r="AN429" s="19"/>
      <c r="AO429" s="19"/>
      <c r="AP429" s="18"/>
      <c r="AQ429" s="19"/>
      <c r="AR429" s="19"/>
      <c r="AS429" s="19"/>
      <c r="AT429" s="19"/>
      <c r="AU429" s="18"/>
      <c r="AV429" s="19"/>
      <c r="AW429" s="19"/>
      <c r="AX429" s="19"/>
      <c r="AY429" s="19"/>
      <c r="AZ429" s="18"/>
      <c r="BA429" s="19"/>
      <c r="BB429" s="19"/>
      <c r="BC429" s="19"/>
      <c r="BD429" s="19"/>
      <c r="BE429" s="18"/>
      <c r="BF429" s="19"/>
      <c r="BG429" s="19"/>
      <c r="BH429" s="19"/>
      <c r="BI429" s="19"/>
      <c r="BJ429" s="18"/>
      <c r="BK429" s="19"/>
      <c r="BL429" s="19"/>
      <c r="BM429" s="19"/>
      <c r="BN429" s="19"/>
      <c r="BO429" s="18"/>
      <c r="BP429" s="19"/>
      <c r="BQ429" s="19"/>
      <c r="BR429" s="19"/>
      <c r="BS429" s="19"/>
      <c r="BT429" s="18"/>
      <c r="BU429" s="19"/>
      <c r="BV429" s="19"/>
      <c r="BW429" s="19"/>
      <c r="BX429" s="19"/>
      <c r="BY429" s="18"/>
      <c r="BZ429" s="19"/>
      <c r="CA429" s="19"/>
      <c r="CB429" s="19"/>
      <c r="CC429" s="19"/>
      <c r="CD429" s="18"/>
      <c r="CE429" s="19"/>
      <c r="CF429" s="19"/>
      <c r="CG429" s="19"/>
      <c r="CH429" s="19"/>
      <c r="CI429" s="18"/>
      <c r="CJ429" s="19"/>
      <c r="CK429" s="19"/>
      <c r="CL429" s="19"/>
      <c r="CM429" s="19"/>
      <c r="CN429" s="22"/>
      <c r="CO429" s="22"/>
      <c r="CP429" s="22"/>
      <c r="CQ429" s="22"/>
      <c r="CR429" s="22"/>
      <c r="CS429" s="22"/>
      <c r="CT429" s="14"/>
    </row>
    <row r="430" spans="1:98" s="426" customFormat="1" x14ac:dyDescent="0.3">
      <c r="A430" s="14"/>
      <c r="B430" s="292"/>
      <c r="C430" s="292"/>
      <c r="D430" s="14"/>
      <c r="E430" s="14"/>
      <c r="F430" s="703"/>
      <c r="G430" s="14"/>
      <c r="H430" s="14"/>
      <c r="I430" s="14"/>
      <c r="J430" s="14"/>
      <c r="K430" s="14"/>
      <c r="L430" s="14"/>
      <c r="M430" s="14"/>
      <c r="N430" s="703"/>
      <c r="O430" s="111"/>
      <c r="P430" s="703"/>
      <c r="Q430" s="14"/>
      <c r="R430" s="14"/>
      <c r="S430" s="14"/>
      <c r="T430" s="14"/>
      <c r="U430" s="14"/>
      <c r="V430" s="14"/>
      <c r="W430" s="14"/>
      <c r="X430" s="14"/>
      <c r="Y430" s="14"/>
      <c r="Z430" s="14"/>
      <c r="AA430" s="18"/>
      <c r="AB430" s="19"/>
      <c r="AC430" s="19"/>
      <c r="AD430" s="19"/>
      <c r="AE430" s="19"/>
      <c r="AF430" s="18"/>
      <c r="AG430" s="19"/>
      <c r="AH430" s="19"/>
      <c r="AI430" s="19"/>
      <c r="AJ430" s="19"/>
      <c r="AK430" s="18"/>
      <c r="AL430" s="19"/>
      <c r="AM430" s="19"/>
      <c r="AN430" s="19"/>
      <c r="AO430" s="19"/>
      <c r="AP430" s="18"/>
      <c r="AQ430" s="19"/>
      <c r="AR430" s="19"/>
      <c r="AS430" s="19"/>
      <c r="AT430" s="19"/>
      <c r="AU430" s="18"/>
      <c r="AV430" s="19"/>
      <c r="AW430" s="19"/>
      <c r="AX430" s="19"/>
      <c r="AY430" s="19"/>
      <c r="AZ430" s="18"/>
      <c r="BA430" s="19"/>
      <c r="BB430" s="19"/>
      <c r="BC430" s="19"/>
      <c r="BD430" s="19"/>
      <c r="BE430" s="18"/>
      <c r="BF430" s="19"/>
      <c r="BG430" s="19"/>
      <c r="BH430" s="19"/>
      <c r="BI430" s="19"/>
      <c r="BJ430" s="18"/>
      <c r="BK430" s="19"/>
      <c r="BL430" s="19"/>
      <c r="BM430" s="19"/>
      <c r="BN430" s="19"/>
      <c r="BO430" s="18"/>
      <c r="BP430" s="19"/>
      <c r="BQ430" s="19"/>
      <c r="BR430" s="19"/>
      <c r="BS430" s="19"/>
      <c r="BT430" s="18"/>
      <c r="BU430" s="19"/>
      <c r="BV430" s="19"/>
      <c r="BW430" s="19"/>
      <c r="BX430" s="19"/>
      <c r="BY430" s="18"/>
      <c r="BZ430" s="19"/>
      <c r="CA430" s="19"/>
      <c r="CB430" s="19"/>
      <c r="CC430" s="19"/>
      <c r="CD430" s="18"/>
      <c r="CE430" s="19"/>
      <c r="CF430" s="19"/>
      <c r="CG430" s="19"/>
      <c r="CH430" s="19"/>
      <c r="CI430" s="18"/>
      <c r="CJ430" s="19"/>
      <c r="CK430" s="19"/>
      <c r="CL430" s="19"/>
      <c r="CM430" s="19"/>
      <c r="CN430" s="22"/>
      <c r="CO430" s="22"/>
      <c r="CP430" s="22"/>
      <c r="CQ430" s="22"/>
      <c r="CR430" s="22"/>
      <c r="CS430" s="22"/>
      <c r="CT430" s="14"/>
    </row>
    <row r="431" spans="1:98" s="426" customFormat="1" x14ac:dyDescent="0.3">
      <c r="A431" s="14"/>
      <c r="B431" s="292"/>
      <c r="C431" s="292"/>
      <c r="D431" s="14"/>
      <c r="E431" s="14"/>
      <c r="F431" s="703"/>
      <c r="G431" s="14"/>
      <c r="H431" s="14"/>
      <c r="I431" s="14"/>
      <c r="J431" s="14"/>
      <c r="K431" s="14"/>
      <c r="L431" s="14"/>
      <c r="M431" s="14"/>
      <c r="N431" s="703"/>
      <c r="O431" s="111"/>
      <c r="P431" s="703"/>
      <c r="Q431" s="14"/>
      <c r="R431" s="14"/>
      <c r="S431" s="14"/>
      <c r="T431" s="14"/>
      <c r="U431" s="14"/>
      <c r="V431" s="14"/>
      <c r="W431" s="14"/>
      <c r="X431" s="14"/>
      <c r="Y431" s="14"/>
      <c r="Z431" s="14"/>
      <c r="AA431" s="18"/>
      <c r="AB431" s="19"/>
      <c r="AC431" s="19"/>
      <c r="AD431" s="19"/>
      <c r="AE431" s="19"/>
      <c r="AF431" s="18"/>
      <c r="AG431" s="19"/>
      <c r="AH431" s="19"/>
      <c r="AI431" s="19"/>
      <c r="AJ431" s="19"/>
      <c r="AK431" s="18"/>
      <c r="AL431" s="19"/>
      <c r="AM431" s="19"/>
      <c r="AN431" s="19"/>
      <c r="AO431" s="19"/>
      <c r="AP431" s="18"/>
      <c r="AQ431" s="19"/>
      <c r="AR431" s="19"/>
      <c r="AS431" s="19"/>
      <c r="AT431" s="19"/>
      <c r="AU431" s="18"/>
      <c r="AV431" s="19"/>
      <c r="AW431" s="19"/>
      <c r="AX431" s="19"/>
      <c r="AY431" s="19"/>
      <c r="AZ431" s="18"/>
      <c r="BA431" s="19"/>
      <c r="BB431" s="19"/>
      <c r="BC431" s="19"/>
      <c r="BD431" s="19"/>
      <c r="BE431" s="18"/>
      <c r="BF431" s="19"/>
      <c r="BG431" s="19"/>
      <c r="BH431" s="19"/>
      <c r="BI431" s="19"/>
      <c r="BJ431" s="18"/>
      <c r="BK431" s="19"/>
      <c r="BL431" s="19"/>
      <c r="BM431" s="19"/>
      <c r="BN431" s="19"/>
      <c r="BO431" s="18"/>
      <c r="BP431" s="19"/>
      <c r="BQ431" s="19"/>
      <c r="BR431" s="19"/>
      <c r="BS431" s="19"/>
      <c r="BT431" s="18"/>
      <c r="BU431" s="19"/>
      <c r="BV431" s="19"/>
      <c r="BW431" s="19"/>
      <c r="BX431" s="19"/>
      <c r="BY431" s="18"/>
      <c r="BZ431" s="19"/>
      <c r="CA431" s="19"/>
      <c r="CB431" s="19"/>
      <c r="CC431" s="19"/>
      <c r="CD431" s="18"/>
      <c r="CE431" s="19"/>
      <c r="CF431" s="19"/>
      <c r="CG431" s="19"/>
      <c r="CH431" s="19"/>
      <c r="CI431" s="18"/>
      <c r="CJ431" s="19"/>
      <c r="CK431" s="19"/>
      <c r="CL431" s="19"/>
      <c r="CM431" s="19"/>
      <c r="CN431" s="22"/>
      <c r="CO431" s="22"/>
      <c r="CP431" s="22"/>
      <c r="CQ431" s="22"/>
      <c r="CR431" s="22"/>
      <c r="CS431" s="22"/>
      <c r="CT431" s="14"/>
    </row>
    <row r="432" spans="1:98" s="426" customFormat="1" x14ac:dyDescent="0.3">
      <c r="A432" s="14"/>
      <c r="B432" s="292"/>
      <c r="C432" s="292"/>
      <c r="D432" s="14"/>
      <c r="E432" s="14"/>
      <c r="F432" s="703"/>
      <c r="G432" s="14"/>
      <c r="H432" s="14"/>
      <c r="I432" s="14"/>
      <c r="J432" s="14"/>
      <c r="K432" s="14"/>
      <c r="L432" s="14"/>
      <c r="M432" s="14"/>
      <c r="N432" s="703"/>
      <c r="O432" s="111"/>
      <c r="P432" s="703"/>
      <c r="Q432" s="14"/>
      <c r="R432" s="14"/>
      <c r="S432" s="14"/>
      <c r="T432" s="14"/>
      <c r="U432" s="14"/>
      <c r="V432" s="14"/>
      <c r="W432" s="14"/>
      <c r="X432" s="14"/>
      <c r="Y432" s="14"/>
      <c r="Z432" s="14"/>
      <c r="AA432" s="18"/>
      <c r="AB432" s="19"/>
      <c r="AC432" s="19"/>
      <c r="AD432" s="19"/>
      <c r="AE432" s="19"/>
      <c r="AF432" s="18"/>
      <c r="AG432" s="19"/>
      <c r="AH432" s="19"/>
      <c r="AI432" s="19"/>
      <c r="AJ432" s="19"/>
      <c r="AK432" s="18"/>
      <c r="AL432" s="19"/>
      <c r="AM432" s="19"/>
      <c r="AN432" s="19"/>
      <c r="AO432" s="19"/>
      <c r="AP432" s="18"/>
      <c r="AQ432" s="19"/>
      <c r="AR432" s="19"/>
      <c r="AS432" s="19"/>
      <c r="AT432" s="19"/>
      <c r="AU432" s="18"/>
      <c r="AV432" s="19"/>
      <c r="AW432" s="19"/>
      <c r="AX432" s="19"/>
      <c r="AY432" s="19"/>
      <c r="AZ432" s="18"/>
      <c r="BA432" s="19"/>
      <c r="BB432" s="19"/>
      <c r="BC432" s="19"/>
      <c r="BD432" s="19"/>
      <c r="BE432" s="18"/>
      <c r="BF432" s="19"/>
      <c r="BG432" s="19"/>
      <c r="BH432" s="19"/>
      <c r="BI432" s="19"/>
      <c r="BJ432" s="18"/>
      <c r="BK432" s="19"/>
      <c r="BL432" s="19"/>
      <c r="BM432" s="19"/>
      <c r="BN432" s="19"/>
      <c r="BO432" s="18"/>
      <c r="BP432" s="19"/>
      <c r="BQ432" s="19"/>
      <c r="BR432" s="19"/>
      <c r="BS432" s="19"/>
      <c r="BT432" s="18"/>
      <c r="BU432" s="19"/>
      <c r="BV432" s="19"/>
      <c r="BW432" s="19"/>
      <c r="BX432" s="19"/>
      <c r="BY432" s="18"/>
      <c r="BZ432" s="19"/>
      <c r="CA432" s="19"/>
      <c r="CB432" s="19"/>
      <c r="CC432" s="19"/>
      <c r="CD432" s="18"/>
      <c r="CE432" s="19"/>
      <c r="CF432" s="19"/>
      <c r="CG432" s="19"/>
      <c r="CH432" s="19"/>
      <c r="CI432" s="18"/>
      <c r="CJ432" s="19"/>
      <c r="CK432" s="19"/>
      <c r="CL432" s="19"/>
      <c r="CM432" s="19"/>
      <c r="CN432" s="22"/>
      <c r="CO432" s="22"/>
      <c r="CP432" s="22"/>
      <c r="CQ432" s="22"/>
      <c r="CR432" s="22"/>
      <c r="CS432" s="22"/>
      <c r="CT432" s="14"/>
    </row>
    <row r="433" spans="1:98" s="426" customFormat="1" x14ac:dyDescent="0.3">
      <c r="A433" s="14"/>
      <c r="B433" s="292"/>
      <c r="C433" s="292"/>
      <c r="D433" s="14"/>
      <c r="E433" s="14"/>
      <c r="F433" s="703"/>
      <c r="G433" s="14"/>
      <c r="H433" s="14"/>
      <c r="I433" s="14"/>
      <c r="J433" s="14"/>
      <c r="K433" s="14"/>
      <c r="L433" s="14"/>
      <c r="M433" s="14"/>
      <c r="N433" s="703"/>
      <c r="O433" s="111"/>
      <c r="P433" s="703"/>
      <c r="Q433" s="14"/>
      <c r="R433" s="14"/>
      <c r="S433" s="14"/>
      <c r="T433" s="14"/>
      <c r="U433" s="14"/>
      <c r="V433" s="14"/>
      <c r="W433" s="14"/>
      <c r="X433" s="14"/>
      <c r="Y433" s="14"/>
      <c r="Z433" s="14"/>
      <c r="AA433" s="18"/>
      <c r="AB433" s="19"/>
      <c r="AC433" s="19"/>
      <c r="AD433" s="19"/>
      <c r="AE433" s="19"/>
      <c r="AF433" s="18"/>
      <c r="AG433" s="19"/>
      <c r="AH433" s="19"/>
      <c r="AI433" s="19"/>
      <c r="AJ433" s="19"/>
      <c r="AK433" s="18"/>
      <c r="AL433" s="19"/>
      <c r="AM433" s="19"/>
      <c r="AN433" s="19"/>
      <c r="AO433" s="19"/>
      <c r="AP433" s="18"/>
      <c r="AQ433" s="19"/>
      <c r="AR433" s="19"/>
      <c r="AS433" s="19"/>
      <c r="AT433" s="19"/>
      <c r="AU433" s="18"/>
      <c r="AV433" s="19"/>
      <c r="AW433" s="19"/>
      <c r="AX433" s="19"/>
      <c r="AY433" s="19"/>
      <c r="AZ433" s="18"/>
      <c r="BA433" s="19"/>
      <c r="BB433" s="19"/>
      <c r="BC433" s="19"/>
      <c r="BD433" s="19"/>
      <c r="BE433" s="18"/>
      <c r="BF433" s="19"/>
      <c r="BG433" s="19"/>
      <c r="BH433" s="19"/>
      <c r="BI433" s="19"/>
      <c r="BJ433" s="18"/>
      <c r="BK433" s="19"/>
      <c r="BL433" s="19"/>
      <c r="BM433" s="19"/>
      <c r="BN433" s="19"/>
      <c r="BO433" s="18"/>
      <c r="BP433" s="19"/>
      <c r="BQ433" s="19"/>
      <c r="BR433" s="19"/>
      <c r="BS433" s="19"/>
      <c r="BT433" s="18"/>
      <c r="BU433" s="19"/>
      <c r="BV433" s="19"/>
      <c r="BW433" s="19"/>
      <c r="BX433" s="19"/>
      <c r="BY433" s="18"/>
      <c r="BZ433" s="19"/>
      <c r="CA433" s="19"/>
      <c r="CB433" s="19"/>
      <c r="CC433" s="19"/>
      <c r="CD433" s="18"/>
      <c r="CE433" s="19"/>
      <c r="CF433" s="19"/>
      <c r="CG433" s="19"/>
      <c r="CH433" s="19"/>
      <c r="CI433" s="18"/>
      <c r="CJ433" s="19"/>
      <c r="CK433" s="19"/>
      <c r="CL433" s="19"/>
      <c r="CM433" s="19"/>
      <c r="CN433" s="22"/>
      <c r="CO433" s="22"/>
      <c r="CP433" s="22"/>
      <c r="CQ433" s="22"/>
      <c r="CR433" s="22"/>
      <c r="CS433" s="22"/>
      <c r="CT433" s="14"/>
    </row>
    <row r="434" spans="1:98" s="426" customFormat="1" x14ac:dyDescent="0.3">
      <c r="A434" s="14"/>
      <c r="B434" s="292"/>
      <c r="C434" s="292"/>
      <c r="D434" s="14"/>
      <c r="E434" s="14"/>
      <c r="F434" s="703"/>
      <c r="G434" s="14"/>
      <c r="H434" s="14"/>
      <c r="I434" s="14"/>
      <c r="J434" s="14"/>
      <c r="K434" s="14"/>
      <c r="L434" s="14"/>
      <c r="M434" s="14"/>
      <c r="N434" s="703"/>
      <c r="O434" s="111"/>
      <c r="P434" s="703"/>
      <c r="Q434" s="14"/>
      <c r="R434" s="14"/>
      <c r="S434" s="14"/>
      <c r="T434" s="14"/>
      <c r="U434" s="14"/>
      <c r="V434" s="14"/>
      <c r="W434" s="14"/>
      <c r="X434" s="14"/>
      <c r="Y434" s="14"/>
      <c r="Z434" s="14"/>
      <c r="AA434" s="18"/>
      <c r="AB434" s="19"/>
      <c r="AC434" s="19"/>
      <c r="AD434" s="19"/>
      <c r="AE434" s="19"/>
      <c r="AF434" s="18"/>
      <c r="AG434" s="19"/>
      <c r="AH434" s="19"/>
      <c r="AI434" s="19"/>
      <c r="AJ434" s="19"/>
      <c r="AK434" s="18"/>
      <c r="AL434" s="19"/>
      <c r="AM434" s="19"/>
      <c r="AN434" s="19"/>
      <c r="AO434" s="19"/>
      <c r="AP434" s="18"/>
      <c r="AQ434" s="19"/>
      <c r="AR434" s="19"/>
      <c r="AS434" s="19"/>
      <c r="AT434" s="19"/>
      <c r="AU434" s="18"/>
      <c r="AV434" s="19"/>
      <c r="AW434" s="19"/>
      <c r="AX434" s="19"/>
      <c r="AY434" s="19"/>
      <c r="AZ434" s="18"/>
      <c r="BA434" s="19"/>
      <c r="BB434" s="19"/>
      <c r="BC434" s="19"/>
      <c r="BD434" s="19"/>
      <c r="BE434" s="18"/>
      <c r="BF434" s="19"/>
      <c r="BG434" s="19"/>
      <c r="BH434" s="19"/>
      <c r="BI434" s="19"/>
      <c r="BJ434" s="18"/>
      <c r="BK434" s="19"/>
      <c r="BL434" s="19"/>
      <c r="BM434" s="19"/>
      <c r="BN434" s="19"/>
      <c r="BO434" s="18"/>
      <c r="BP434" s="19"/>
      <c r="BQ434" s="19"/>
      <c r="BR434" s="19"/>
      <c r="BS434" s="19"/>
      <c r="BT434" s="18"/>
      <c r="BU434" s="19"/>
      <c r="BV434" s="19"/>
      <c r="BW434" s="19"/>
      <c r="BX434" s="19"/>
      <c r="BY434" s="18"/>
      <c r="BZ434" s="19"/>
      <c r="CA434" s="19"/>
      <c r="CB434" s="19"/>
      <c r="CC434" s="19"/>
      <c r="CD434" s="18"/>
      <c r="CE434" s="19"/>
      <c r="CF434" s="19"/>
      <c r="CG434" s="19"/>
      <c r="CH434" s="19"/>
      <c r="CI434" s="18"/>
      <c r="CJ434" s="19"/>
      <c r="CK434" s="19"/>
      <c r="CL434" s="19"/>
      <c r="CM434" s="19"/>
      <c r="CN434" s="22"/>
      <c r="CO434" s="22"/>
      <c r="CP434" s="22"/>
      <c r="CQ434" s="22"/>
      <c r="CR434" s="22"/>
      <c r="CS434" s="22"/>
      <c r="CT434" s="14"/>
    </row>
    <row r="435" spans="1:98" s="426" customFormat="1" x14ac:dyDescent="0.3">
      <c r="A435" s="14"/>
      <c r="B435" s="292"/>
      <c r="C435" s="292"/>
      <c r="D435" s="14"/>
      <c r="E435" s="14"/>
      <c r="F435" s="703"/>
      <c r="G435" s="14"/>
      <c r="H435" s="14"/>
      <c r="I435" s="14"/>
      <c r="J435" s="14"/>
      <c r="K435" s="14"/>
      <c r="L435" s="14"/>
      <c r="M435" s="14"/>
      <c r="N435" s="703"/>
      <c r="O435" s="111"/>
      <c r="P435" s="703"/>
      <c r="Q435" s="14"/>
      <c r="R435" s="14"/>
      <c r="S435" s="14"/>
      <c r="T435" s="14"/>
      <c r="U435" s="14"/>
      <c r="V435" s="14"/>
      <c r="W435" s="14"/>
      <c r="X435" s="14"/>
      <c r="Y435" s="14"/>
      <c r="Z435" s="14"/>
      <c r="AA435" s="18"/>
      <c r="AB435" s="19"/>
      <c r="AC435" s="19"/>
      <c r="AD435" s="19"/>
      <c r="AE435" s="19"/>
      <c r="AF435" s="18"/>
      <c r="AG435" s="19"/>
      <c r="AH435" s="19"/>
      <c r="AI435" s="19"/>
      <c r="AJ435" s="19"/>
      <c r="AK435" s="18"/>
      <c r="AL435" s="19"/>
      <c r="AM435" s="19"/>
      <c r="AN435" s="19"/>
      <c r="AO435" s="19"/>
      <c r="AP435" s="18"/>
      <c r="AQ435" s="19"/>
      <c r="AR435" s="19"/>
      <c r="AS435" s="19"/>
      <c r="AT435" s="19"/>
      <c r="AU435" s="18"/>
      <c r="AV435" s="19"/>
      <c r="AW435" s="19"/>
      <c r="AX435" s="19"/>
      <c r="AY435" s="19"/>
      <c r="AZ435" s="18"/>
      <c r="BA435" s="19"/>
      <c r="BB435" s="19"/>
      <c r="BC435" s="19"/>
      <c r="BD435" s="19"/>
      <c r="BE435" s="18"/>
      <c r="BF435" s="19"/>
      <c r="BG435" s="19"/>
      <c r="BH435" s="19"/>
      <c r="BI435" s="19"/>
      <c r="BJ435" s="18"/>
      <c r="BK435" s="19"/>
      <c r="BL435" s="19"/>
      <c r="BM435" s="19"/>
      <c r="BN435" s="19"/>
      <c r="BO435" s="18"/>
      <c r="BP435" s="19"/>
      <c r="BQ435" s="19"/>
      <c r="BR435" s="19"/>
      <c r="BS435" s="19"/>
      <c r="BT435" s="18"/>
      <c r="BU435" s="19"/>
      <c r="BV435" s="19"/>
      <c r="BW435" s="19"/>
      <c r="BX435" s="19"/>
      <c r="BY435" s="18"/>
      <c r="BZ435" s="19"/>
      <c r="CA435" s="19"/>
      <c r="CB435" s="19"/>
      <c r="CC435" s="19"/>
      <c r="CD435" s="18"/>
      <c r="CE435" s="19"/>
      <c r="CF435" s="19"/>
      <c r="CG435" s="19"/>
      <c r="CH435" s="19"/>
      <c r="CI435" s="18"/>
      <c r="CJ435" s="19"/>
      <c r="CK435" s="19"/>
      <c r="CL435" s="19"/>
      <c r="CM435" s="19"/>
      <c r="CN435" s="22"/>
      <c r="CO435" s="22"/>
      <c r="CP435" s="22"/>
      <c r="CQ435" s="22"/>
      <c r="CR435" s="22"/>
      <c r="CS435" s="22"/>
      <c r="CT435" s="14"/>
    </row>
    <row r="436" spans="1:98" s="426" customFormat="1" x14ac:dyDescent="0.3">
      <c r="A436" s="14"/>
      <c r="B436" s="292"/>
      <c r="C436" s="292"/>
      <c r="D436" s="14"/>
      <c r="E436" s="14"/>
      <c r="F436" s="703"/>
      <c r="G436" s="14"/>
      <c r="H436" s="14"/>
      <c r="I436" s="14"/>
      <c r="J436" s="14"/>
      <c r="K436" s="14"/>
      <c r="L436" s="14"/>
      <c r="M436" s="14"/>
      <c r="N436" s="703"/>
      <c r="O436" s="111"/>
      <c r="P436" s="703"/>
      <c r="Q436" s="14"/>
      <c r="R436" s="14"/>
      <c r="S436" s="14"/>
      <c r="T436" s="14"/>
      <c r="U436" s="14"/>
      <c r="V436" s="14"/>
      <c r="W436" s="14"/>
      <c r="X436" s="14"/>
      <c r="Y436" s="14"/>
      <c r="Z436" s="14"/>
      <c r="AA436" s="18"/>
      <c r="AB436" s="19"/>
      <c r="AC436" s="19"/>
      <c r="AD436" s="19"/>
      <c r="AE436" s="19"/>
      <c r="AF436" s="18"/>
      <c r="AG436" s="19"/>
      <c r="AH436" s="19"/>
      <c r="AI436" s="19"/>
      <c r="AJ436" s="19"/>
      <c r="AK436" s="18"/>
      <c r="AL436" s="19"/>
      <c r="AM436" s="19"/>
      <c r="AN436" s="19"/>
      <c r="AO436" s="19"/>
      <c r="AP436" s="18"/>
      <c r="AQ436" s="19"/>
      <c r="AR436" s="19"/>
      <c r="AS436" s="19"/>
      <c r="AT436" s="19"/>
      <c r="AU436" s="18"/>
      <c r="AV436" s="19"/>
      <c r="AW436" s="19"/>
      <c r="AX436" s="19"/>
      <c r="AY436" s="19"/>
      <c r="AZ436" s="18"/>
      <c r="BA436" s="19"/>
      <c r="BB436" s="19"/>
      <c r="BC436" s="19"/>
      <c r="BD436" s="19"/>
      <c r="BE436" s="18"/>
      <c r="BF436" s="19"/>
      <c r="BG436" s="19"/>
      <c r="BH436" s="19"/>
      <c r="BI436" s="19"/>
      <c r="BJ436" s="18"/>
      <c r="BK436" s="19"/>
      <c r="BL436" s="19"/>
      <c r="BM436" s="19"/>
      <c r="BN436" s="19"/>
      <c r="BO436" s="18"/>
      <c r="BP436" s="19"/>
      <c r="BQ436" s="19"/>
      <c r="BR436" s="19"/>
      <c r="BS436" s="19"/>
      <c r="BT436" s="18"/>
      <c r="BU436" s="19"/>
      <c r="BV436" s="19"/>
      <c r="BW436" s="19"/>
      <c r="BX436" s="19"/>
      <c r="BY436" s="18"/>
      <c r="BZ436" s="19"/>
      <c r="CA436" s="19"/>
      <c r="CB436" s="19"/>
      <c r="CC436" s="19"/>
      <c r="CD436" s="18"/>
      <c r="CE436" s="19"/>
      <c r="CF436" s="19"/>
      <c r="CG436" s="19"/>
      <c r="CH436" s="19"/>
      <c r="CI436" s="18"/>
      <c r="CJ436" s="19"/>
      <c r="CK436" s="19"/>
      <c r="CL436" s="19"/>
      <c r="CM436" s="19"/>
      <c r="CN436" s="22"/>
      <c r="CO436" s="22"/>
      <c r="CP436" s="22"/>
      <c r="CQ436" s="22"/>
      <c r="CR436" s="22"/>
      <c r="CS436" s="22"/>
      <c r="CT436" s="14"/>
    </row>
    <row r="437" spans="1:98" s="426" customFormat="1" x14ac:dyDescent="0.3">
      <c r="A437" s="14"/>
      <c r="B437" s="292"/>
      <c r="C437" s="292"/>
      <c r="D437" s="14"/>
      <c r="E437" s="14"/>
      <c r="F437" s="703"/>
      <c r="G437" s="14"/>
      <c r="H437" s="14"/>
      <c r="I437" s="14"/>
      <c r="J437" s="14"/>
      <c r="K437" s="14"/>
      <c r="L437" s="14"/>
      <c r="M437" s="14"/>
      <c r="N437" s="703"/>
      <c r="O437" s="111"/>
      <c r="P437" s="703"/>
      <c r="Q437" s="14"/>
      <c r="R437" s="14"/>
      <c r="S437" s="14"/>
      <c r="T437" s="14"/>
      <c r="U437" s="14"/>
      <c r="V437" s="14"/>
      <c r="W437" s="14"/>
      <c r="X437" s="14"/>
      <c r="Y437" s="14"/>
      <c r="Z437" s="14"/>
      <c r="AA437" s="18"/>
      <c r="AB437" s="19"/>
      <c r="AC437" s="19"/>
      <c r="AD437" s="19"/>
      <c r="AE437" s="19"/>
      <c r="AF437" s="18"/>
      <c r="AG437" s="19"/>
      <c r="AH437" s="19"/>
      <c r="AI437" s="19"/>
      <c r="AJ437" s="19"/>
      <c r="AK437" s="18"/>
      <c r="AL437" s="19"/>
      <c r="AM437" s="19"/>
      <c r="AN437" s="19"/>
      <c r="AO437" s="19"/>
      <c r="AP437" s="18"/>
      <c r="AQ437" s="19"/>
      <c r="AR437" s="19"/>
      <c r="AS437" s="19"/>
      <c r="AT437" s="19"/>
      <c r="AU437" s="18"/>
      <c r="AV437" s="19"/>
      <c r="AW437" s="19"/>
      <c r="AX437" s="19"/>
      <c r="AY437" s="19"/>
      <c r="AZ437" s="18"/>
      <c r="BA437" s="19"/>
      <c r="BB437" s="19"/>
      <c r="BC437" s="19"/>
      <c r="BD437" s="19"/>
      <c r="BE437" s="18"/>
      <c r="BF437" s="19"/>
      <c r="BG437" s="19"/>
      <c r="BH437" s="19"/>
      <c r="BI437" s="19"/>
      <c r="BJ437" s="18"/>
      <c r="BK437" s="19"/>
      <c r="BL437" s="19"/>
      <c r="BM437" s="19"/>
      <c r="BN437" s="19"/>
      <c r="BO437" s="18"/>
      <c r="BP437" s="19"/>
      <c r="BQ437" s="19"/>
      <c r="BR437" s="19"/>
      <c r="BS437" s="19"/>
      <c r="BT437" s="18"/>
      <c r="BU437" s="19"/>
      <c r="BV437" s="19"/>
      <c r="BW437" s="19"/>
      <c r="BX437" s="19"/>
      <c r="BY437" s="18"/>
      <c r="BZ437" s="19"/>
      <c r="CA437" s="19"/>
      <c r="CB437" s="19"/>
      <c r="CC437" s="19"/>
      <c r="CD437" s="18"/>
      <c r="CE437" s="19"/>
      <c r="CF437" s="19"/>
      <c r="CG437" s="19"/>
      <c r="CH437" s="19"/>
      <c r="CI437" s="18"/>
      <c r="CJ437" s="19"/>
      <c r="CK437" s="19"/>
      <c r="CL437" s="19"/>
      <c r="CM437" s="19"/>
      <c r="CN437" s="22"/>
      <c r="CO437" s="22"/>
      <c r="CP437" s="22"/>
      <c r="CQ437" s="22"/>
      <c r="CR437" s="22"/>
      <c r="CS437" s="22"/>
      <c r="CT437" s="14"/>
    </row>
    <row r="438" spans="1:98" s="426" customFormat="1" x14ac:dyDescent="0.3">
      <c r="A438" s="14"/>
      <c r="B438" s="292"/>
      <c r="C438" s="292"/>
      <c r="D438" s="14"/>
      <c r="E438" s="14"/>
      <c r="F438" s="703"/>
      <c r="G438" s="14"/>
      <c r="H438" s="14"/>
      <c r="I438" s="14"/>
      <c r="J438" s="14"/>
      <c r="K438" s="14"/>
      <c r="L438" s="14"/>
      <c r="M438" s="14"/>
      <c r="N438" s="703"/>
      <c r="O438" s="111"/>
      <c r="P438" s="703"/>
      <c r="Q438" s="14"/>
      <c r="R438" s="14"/>
      <c r="S438" s="14"/>
      <c r="T438" s="14"/>
      <c r="U438" s="14"/>
      <c r="V438" s="14"/>
      <c r="W438" s="14"/>
      <c r="X438" s="14"/>
      <c r="Y438" s="14"/>
      <c r="Z438" s="14"/>
      <c r="AA438" s="18"/>
      <c r="AB438" s="19"/>
      <c r="AC438" s="19"/>
      <c r="AD438" s="19"/>
      <c r="AE438" s="19"/>
      <c r="AF438" s="18"/>
      <c r="AG438" s="19"/>
      <c r="AH438" s="19"/>
      <c r="AI438" s="19"/>
      <c r="AJ438" s="19"/>
      <c r="AK438" s="18"/>
      <c r="AL438" s="19"/>
      <c r="AM438" s="19"/>
      <c r="AN438" s="19"/>
      <c r="AO438" s="19"/>
      <c r="AP438" s="18"/>
      <c r="AQ438" s="19"/>
      <c r="AR438" s="19"/>
      <c r="AS438" s="19"/>
      <c r="AT438" s="19"/>
      <c r="AU438" s="18"/>
      <c r="AV438" s="19"/>
      <c r="AW438" s="19"/>
      <c r="AX438" s="19"/>
      <c r="AY438" s="19"/>
      <c r="AZ438" s="18"/>
      <c r="BA438" s="19"/>
      <c r="BB438" s="19"/>
      <c r="BC438" s="19"/>
      <c r="BD438" s="19"/>
      <c r="BE438" s="18"/>
      <c r="BF438" s="19"/>
      <c r="BG438" s="19"/>
      <c r="BH438" s="19"/>
      <c r="BI438" s="19"/>
      <c r="BJ438" s="18"/>
      <c r="BK438" s="19"/>
      <c r="BL438" s="19"/>
      <c r="BM438" s="19"/>
      <c r="BN438" s="19"/>
      <c r="BO438" s="18"/>
      <c r="BP438" s="19"/>
      <c r="BQ438" s="19"/>
      <c r="BR438" s="19"/>
      <c r="BS438" s="19"/>
      <c r="BT438" s="18"/>
      <c r="BU438" s="19"/>
      <c r="BV438" s="19"/>
      <c r="BW438" s="19"/>
      <c r="BX438" s="19"/>
      <c r="BY438" s="18"/>
      <c r="BZ438" s="19"/>
      <c r="CA438" s="19"/>
      <c r="CB438" s="19"/>
      <c r="CC438" s="19"/>
      <c r="CD438" s="18"/>
      <c r="CE438" s="19"/>
      <c r="CF438" s="19"/>
      <c r="CG438" s="19"/>
      <c r="CH438" s="19"/>
      <c r="CI438" s="18"/>
      <c r="CJ438" s="19"/>
      <c r="CK438" s="19"/>
      <c r="CL438" s="19"/>
      <c r="CM438" s="19"/>
      <c r="CN438" s="22"/>
      <c r="CO438" s="22"/>
      <c r="CP438" s="22"/>
      <c r="CQ438" s="22"/>
      <c r="CR438" s="22"/>
      <c r="CS438" s="22"/>
      <c r="CT438" s="14"/>
    </row>
    <row r="439" spans="1:98" s="426" customFormat="1" x14ac:dyDescent="0.3">
      <c r="A439" s="14"/>
      <c r="B439" s="292"/>
      <c r="C439" s="292"/>
      <c r="D439" s="14"/>
      <c r="E439" s="14"/>
      <c r="F439" s="703"/>
      <c r="G439" s="14"/>
      <c r="H439" s="14"/>
      <c r="I439" s="14"/>
      <c r="J439" s="14"/>
      <c r="K439" s="14"/>
      <c r="L439" s="14"/>
      <c r="M439" s="14"/>
      <c r="N439" s="703"/>
      <c r="O439" s="111"/>
      <c r="P439" s="703"/>
      <c r="Q439" s="14"/>
      <c r="R439" s="14"/>
      <c r="S439" s="14"/>
      <c r="T439" s="14"/>
      <c r="U439" s="14"/>
      <c r="V439" s="14"/>
      <c r="W439" s="14"/>
      <c r="X439" s="14"/>
      <c r="Y439" s="14"/>
      <c r="Z439" s="14"/>
      <c r="AA439" s="18"/>
      <c r="AB439" s="19"/>
      <c r="AC439" s="19"/>
      <c r="AD439" s="19"/>
      <c r="AE439" s="19"/>
      <c r="AF439" s="18"/>
      <c r="AG439" s="19"/>
      <c r="AH439" s="19"/>
      <c r="AI439" s="19"/>
      <c r="AJ439" s="19"/>
      <c r="AK439" s="18"/>
      <c r="AL439" s="19"/>
      <c r="AM439" s="19"/>
      <c r="AN439" s="19"/>
      <c r="AO439" s="19"/>
      <c r="AP439" s="18"/>
      <c r="AQ439" s="19"/>
      <c r="AR439" s="19"/>
      <c r="AS439" s="19"/>
      <c r="AT439" s="19"/>
      <c r="AU439" s="18"/>
      <c r="AV439" s="19"/>
      <c r="AW439" s="19"/>
      <c r="AX439" s="19"/>
      <c r="AY439" s="19"/>
      <c r="AZ439" s="18"/>
      <c r="BA439" s="19"/>
      <c r="BB439" s="19"/>
      <c r="BC439" s="19"/>
      <c r="BD439" s="19"/>
      <c r="BE439" s="18"/>
      <c r="BF439" s="19"/>
      <c r="BG439" s="19"/>
      <c r="BH439" s="19"/>
      <c r="BI439" s="19"/>
      <c r="BJ439" s="18"/>
      <c r="BK439" s="19"/>
      <c r="BL439" s="19"/>
      <c r="BM439" s="19"/>
      <c r="BN439" s="19"/>
      <c r="BO439" s="18"/>
      <c r="BP439" s="19"/>
      <c r="BQ439" s="19"/>
      <c r="BR439" s="19"/>
      <c r="BS439" s="19"/>
      <c r="BT439" s="18"/>
      <c r="BU439" s="19"/>
      <c r="BV439" s="19"/>
      <c r="BW439" s="19"/>
      <c r="BX439" s="19"/>
      <c r="BY439" s="18"/>
      <c r="BZ439" s="19"/>
      <c r="CA439" s="19"/>
      <c r="CB439" s="19"/>
      <c r="CC439" s="19"/>
      <c r="CD439" s="18"/>
      <c r="CE439" s="19"/>
      <c r="CF439" s="19"/>
      <c r="CG439" s="19"/>
      <c r="CH439" s="19"/>
      <c r="CI439" s="18"/>
      <c r="CJ439" s="19"/>
      <c r="CK439" s="19"/>
      <c r="CL439" s="19"/>
      <c r="CM439" s="19"/>
      <c r="CN439" s="22"/>
      <c r="CO439" s="22"/>
      <c r="CP439" s="22"/>
      <c r="CQ439" s="22"/>
      <c r="CR439" s="22"/>
      <c r="CS439" s="22"/>
      <c r="CT439" s="14"/>
    </row>
    <row r="440" spans="1:98" s="426" customFormat="1" x14ac:dyDescent="0.3">
      <c r="A440" s="14"/>
      <c r="B440" s="292"/>
      <c r="C440" s="292"/>
      <c r="D440" s="14"/>
      <c r="E440" s="14"/>
      <c r="F440" s="703"/>
      <c r="G440" s="14"/>
      <c r="H440" s="14"/>
      <c r="I440" s="14"/>
      <c r="J440" s="14"/>
      <c r="K440" s="14"/>
      <c r="L440" s="14"/>
      <c r="M440" s="14"/>
      <c r="N440" s="703"/>
      <c r="O440" s="111"/>
      <c r="P440" s="703"/>
      <c r="Q440" s="14"/>
      <c r="R440" s="14"/>
      <c r="S440" s="14"/>
      <c r="T440" s="14"/>
      <c r="U440" s="14"/>
      <c r="V440" s="14"/>
      <c r="W440" s="14"/>
      <c r="X440" s="14"/>
      <c r="Y440" s="14"/>
      <c r="Z440" s="14"/>
      <c r="AA440" s="18"/>
      <c r="AB440" s="19"/>
      <c r="AC440" s="19"/>
      <c r="AD440" s="19"/>
      <c r="AE440" s="19"/>
      <c r="AF440" s="18"/>
      <c r="AG440" s="19"/>
      <c r="AH440" s="19"/>
      <c r="AI440" s="19"/>
      <c r="AJ440" s="19"/>
      <c r="AK440" s="18"/>
      <c r="AL440" s="19"/>
      <c r="AM440" s="19"/>
      <c r="AN440" s="19"/>
      <c r="AO440" s="19"/>
      <c r="AP440" s="18"/>
      <c r="AQ440" s="19"/>
      <c r="AR440" s="19"/>
      <c r="AS440" s="19"/>
      <c r="AT440" s="19"/>
      <c r="AU440" s="18"/>
      <c r="AV440" s="19"/>
      <c r="AW440" s="19"/>
      <c r="AX440" s="19"/>
      <c r="AY440" s="19"/>
      <c r="AZ440" s="18"/>
      <c r="BA440" s="19"/>
      <c r="BB440" s="19"/>
      <c r="BC440" s="19"/>
      <c r="BD440" s="19"/>
      <c r="BE440" s="18"/>
      <c r="BF440" s="19"/>
      <c r="BG440" s="19"/>
      <c r="BH440" s="19"/>
      <c r="BI440" s="19"/>
      <c r="BJ440" s="18"/>
      <c r="BK440" s="19"/>
      <c r="BL440" s="19"/>
      <c r="BM440" s="19"/>
      <c r="BN440" s="19"/>
      <c r="BO440" s="18"/>
      <c r="BP440" s="19"/>
      <c r="BQ440" s="19"/>
      <c r="BR440" s="19"/>
      <c r="BS440" s="19"/>
      <c r="BT440" s="18"/>
      <c r="BU440" s="19"/>
      <c r="BV440" s="19"/>
      <c r="BW440" s="19"/>
      <c r="BX440" s="19"/>
      <c r="BY440" s="18"/>
      <c r="BZ440" s="19"/>
      <c r="CA440" s="19"/>
      <c r="CB440" s="19"/>
      <c r="CC440" s="19"/>
      <c r="CD440" s="18"/>
      <c r="CE440" s="19"/>
      <c r="CF440" s="19"/>
      <c r="CG440" s="19"/>
      <c r="CH440" s="19"/>
      <c r="CI440" s="18"/>
      <c r="CJ440" s="19"/>
      <c r="CK440" s="19"/>
      <c r="CL440" s="19"/>
      <c r="CM440" s="19"/>
      <c r="CN440" s="22"/>
      <c r="CO440" s="22"/>
      <c r="CP440" s="22"/>
      <c r="CQ440" s="22"/>
      <c r="CR440" s="22"/>
      <c r="CS440" s="22"/>
      <c r="CT440" s="14"/>
    </row>
    <row r="441" spans="1:98" s="426" customFormat="1" x14ac:dyDescent="0.3">
      <c r="A441" s="14"/>
      <c r="B441" s="292"/>
      <c r="C441" s="292"/>
      <c r="D441" s="14"/>
      <c r="E441" s="14"/>
      <c r="F441" s="703"/>
      <c r="G441" s="14"/>
      <c r="H441" s="14"/>
      <c r="I441" s="14"/>
      <c r="J441" s="14"/>
      <c r="K441" s="14"/>
      <c r="L441" s="14"/>
      <c r="M441" s="14"/>
      <c r="N441" s="703"/>
      <c r="O441" s="111"/>
      <c r="P441" s="703"/>
      <c r="Q441" s="14"/>
      <c r="R441" s="14"/>
      <c r="S441" s="14"/>
      <c r="T441" s="14"/>
      <c r="U441" s="14"/>
      <c r="V441" s="14"/>
      <c r="W441" s="14"/>
      <c r="X441" s="14"/>
      <c r="Y441" s="14"/>
      <c r="Z441" s="14"/>
      <c r="AA441" s="18"/>
      <c r="AB441" s="19"/>
      <c r="AC441" s="19"/>
      <c r="AD441" s="19"/>
      <c r="AE441" s="19"/>
      <c r="AF441" s="18"/>
      <c r="AG441" s="19"/>
      <c r="AH441" s="19"/>
      <c r="AI441" s="19"/>
      <c r="AJ441" s="19"/>
      <c r="AK441" s="18"/>
      <c r="AL441" s="19"/>
      <c r="AM441" s="19"/>
      <c r="AN441" s="19"/>
      <c r="AO441" s="19"/>
      <c r="AP441" s="18"/>
      <c r="AQ441" s="19"/>
      <c r="AR441" s="19"/>
      <c r="AS441" s="19"/>
      <c r="AT441" s="19"/>
      <c r="AU441" s="18"/>
      <c r="AV441" s="19"/>
      <c r="AW441" s="19"/>
      <c r="AX441" s="19"/>
      <c r="AY441" s="19"/>
      <c r="AZ441" s="18"/>
      <c r="BA441" s="19"/>
      <c r="BB441" s="19"/>
      <c r="BC441" s="19"/>
      <c r="BD441" s="19"/>
      <c r="BE441" s="18"/>
      <c r="BF441" s="19"/>
      <c r="BG441" s="19"/>
      <c r="BH441" s="19"/>
      <c r="BI441" s="19"/>
      <c r="BJ441" s="18"/>
      <c r="BK441" s="19"/>
      <c r="BL441" s="19"/>
      <c r="BM441" s="19"/>
      <c r="BN441" s="19"/>
      <c r="BO441" s="18"/>
      <c r="BP441" s="19"/>
      <c r="BQ441" s="19"/>
      <c r="BR441" s="19"/>
      <c r="BS441" s="19"/>
      <c r="BT441" s="18"/>
      <c r="BU441" s="19"/>
      <c r="BV441" s="19"/>
      <c r="BW441" s="19"/>
      <c r="BX441" s="19"/>
      <c r="BY441" s="18"/>
      <c r="BZ441" s="19"/>
      <c r="CA441" s="19"/>
      <c r="CB441" s="19"/>
      <c r="CC441" s="19"/>
      <c r="CD441" s="18"/>
      <c r="CE441" s="19"/>
      <c r="CF441" s="19"/>
      <c r="CG441" s="19"/>
      <c r="CH441" s="19"/>
      <c r="CI441" s="18"/>
      <c r="CJ441" s="19"/>
      <c r="CK441" s="19"/>
      <c r="CL441" s="19"/>
      <c r="CM441" s="19"/>
      <c r="CN441" s="22"/>
      <c r="CO441" s="22"/>
      <c r="CP441" s="22"/>
      <c r="CQ441" s="22"/>
      <c r="CR441" s="22"/>
      <c r="CS441" s="22"/>
      <c r="CT441" s="14"/>
    </row>
    <row r="442" spans="1:98" s="426" customFormat="1" x14ac:dyDescent="0.3">
      <c r="A442" s="14"/>
      <c r="B442" s="292"/>
      <c r="C442" s="292"/>
      <c r="D442" s="14"/>
      <c r="E442" s="14"/>
      <c r="F442" s="703"/>
      <c r="G442" s="14"/>
      <c r="H442" s="14"/>
      <c r="I442" s="14"/>
      <c r="J442" s="14"/>
      <c r="K442" s="14"/>
      <c r="L442" s="14"/>
      <c r="M442" s="14"/>
      <c r="N442" s="703"/>
      <c r="O442" s="111"/>
      <c r="P442" s="703"/>
      <c r="Q442" s="14"/>
      <c r="R442" s="14"/>
      <c r="S442" s="14"/>
      <c r="T442" s="14"/>
      <c r="U442" s="14"/>
      <c r="V442" s="14"/>
      <c r="W442" s="14"/>
      <c r="X442" s="14"/>
      <c r="Y442" s="14"/>
      <c r="Z442" s="14"/>
      <c r="AA442" s="18"/>
      <c r="AB442" s="19"/>
      <c r="AC442" s="19"/>
      <c r="AD442" s="19"/>
      <c r="AE442" s="19"/>
      <c r="AF442" s="18"/>
      <c r="AG442" s="19"/>
      <c r="AH442" s="19"/>
      <c r="AI442" s="19"/>
      <c r="AJ442" s="19"/>
      <c r="AK442" s="18"/>
      <c r="AL442" s="19"/>
      <c r="AM442" s="19"/>
      <c r="AN442" s="19"/>
      <c r="AO442" s="19"/>
      <c r="AP442" s="18"/>
      <c r="AQ442" s="19"/>
      <c r="AR442" s="19"/>
      <c r="AS442" s="19"/>
      <c r="AT442" s="19"/>
      <c r="AU442" s="18"/>
      <c r="AV442" s="19"/>
      <c r="AW442" s="19"/>
      <c r="AX442" s="19"/>
      <c r="AY442" s="19"/>
      <c r="AZ442" s="18"/>
      <c r="BA442" s="19"/>
      <c r="BB442" s="19"/>
      <c r="BC442" s="19"/>
      <c r="BD442" s="19"/>
      <c r="BE442" s="18"/>
      <c r="BF442" s="19"/>
      <c r="BG442" s="19"/>
      <c r="BH442" s="19"/>
      <c r="BI442" s="19"/>
      <c r="BJ442" s="18"/>
      <c r="BK442" s="19"/>
      <c r="BL442" s="19"/>
      <c r="BM442" s="19"/>
      <c r="BN442" s="19"/>
      <c r="BO442" s="18"/>
      <c r="BP442" s="19"/>
      <c r="BQ442" s="19"/>
      <c r="BR442" s="19"/>
      <c r="BS442" s="19"/>
      <c r="BT442" s="18"/>
      <c r="BU442" s="19"/>
      <c r="BV442" s="19"/>
      <c r="BW442" s="19"/>
      <c r="BX442" s="19"/>
      <c r="BY442" s="18"/>
      <c r="BZ442" s="19"/>
      <c r="CA442" s="19"/>
      <c r="CB442" s="19"/>
      <c r="CC442" s="19"/>
      <c r="CD442" s="18"/>
      <c r="CE442" s="19"/>
      <c r="CF442" s="19"/>
      <c r="CG442" s="19"/>
      <c r="CH442" s="19"/>
      <c r="CI442" s="18"/>
      <c r="CJ442" s="19"/>
      <c r="CK442" s="19"/>
      <c r="CL442" s="19"/>
      <c r="CM442" s="19"/>
      <c r="CN442" s="22"/>
      <c r="CO442" s="22"/>
      <c r="CP442" s="22"/>
      <c r="CQ442" s="22"/>
      <c r="CR442" s="22"/>
      <c r="CS442" s="22"/>
      <c r="CT442" s="14"/>
    </row>
    <row r="443" spans="1:98" s="426" customFormat="1" x14ac:dyDescent="0.3">
      <c r="A443" s="14"/>
      <c r="B443" s="292"/>
      <c r="C443" s="292"/>
      <c r="D443" s="14"/>
      <c r="E443" s="14"/>
      <c r="F443" s="703"/>
      <c r="G443" s="14"/>
      <c r="H443" s="14"/>
      <c r="I443" s="14"/>
      <c r="J443" s="14"/>
      <c r="K443" s="14"/>
      <c r="L443" s="14"/>
      <c r="M443" s="14"/>
      <c r="N443" s="703"/>
      <c r="O443" s="111"/>
      <c r="P443" s="703"/>
      <c r="Q443" s="14"/>
      <c r="R443" s="14"/>
      <c r="S443" s="14"/>
      <c r="T443" s="14"/>
      <c r="U443" s="14"/>
      <c r="V443" s="14"/>
      <c r="W443" s="14"/>
      <c r="X443" s="14"/>
      <c r="Y443" s="14"/>
      <c r="Z443" s="14"/>
      <c r="AA443" s="18"/>
      <c r="AB443" s="19"/>
      <c r="AC443" s="19"/>
      <c r="AD443" s="19"/>
      <c r="AE443" s="19"/>
      <c r="AF443" s="18"/>
      <c r="AG443" s="19"/>
      <c r="AH443" s="19"/>
      <c r="AI443" s="19"/>
      <c r="AJ443" s="19"/>
      <c r="AK443" s="18"/>
      <c r="AL443" s="19"/>
      <c r="AM443" s="19"/>
      <c r="AN443" s="19"/>
      <c r="AO443" s="19"/>
      <c r="AP443" s="18"/>
      <c r="AQ443" s="19"/>
      <c r="AR443" s="19"/>
      <c r="AS443" s="19"/>
      <c r="AT443" s="19"/>
      <c r="AU443" s="18"/>
      <c r="AV443" s="19"/>
      <c r="AW443" s="19"/>
      <c r="AX443" s="19"/>
      <c r="AY443" s="19"/>
      <c r="AZ443" s="18"/>
      <c r="BA443" s="19"/>
      <c r="BB443" s="19"/>
      <c r="BC443" s="19"/>
      <c r="BD443" s="19"/>
      <c r="BE443" s="18"/>
      <c r="BF443" s="19"/>
      <c r="BG443" s="19"/>
      <c r="BH443" s="19"/>
      <c r="BI443" s="19"/>
      <c r="BJ443" s="18"/>
      <c r="BK443" s="19"/>
      <c r="BL443" s="19"/>
      <c r="BM443" s="19"/>
      <c r="BN443" s="19"/>
      <c r="BO443" s="18"/>
      <c r="BP443" s="19"/>
      <c r="BQ443" s="19"/>
      <c r="BR443" s="19"/>
      <c r="BS443" s="19"/>
      <c r="BT443" s="18"/>
      <c r="BU443" s="19"/>
      <c r="BV443" s="19"/>
      <c r="BW443" s="19"/>
      <c r="BX443" s="19"/>
      <c r="BY443" s="18"/>
      <c r="BZ443" s="19"/>
      <c r="CA443" s="19"/>
      <c r="CB443" s="19"/>
      <c r="CC443" s="19"/>
      <c r="CD443" s="18"/>
      <c r="CE443" s="19"/>
      <c r="CF443" s="19"/>
      <c r="CG443" s="19"/>
      <c r="CH443" s="19"/>
      <c r="CI443" s="18"/>
      <c r="CJ443" s="19"/>
      <c r="CK443" s="19"/>
      <c r="CL443" s="19"/>
      <c r="CM443" s="19"/>
      <c r="CN443" s="22"/>
      <c r="CO443" s="22"/>
      <c r="CP443" s="22"/>
      <c r="CQ443" s="22"/>
      <c r="CR443" s="22"/>
      <c r="CS443" s="22"/>
      <c r="CT443" s="14"/>
    </row>
    <row r="444" spans="1:98" s="4" customFormat="1" x14ac:dyDescent="0.3">
      <c r="A444" s="14"/>
      <c r="B444" s="292"/>
      <c r="C444" s="292"/>
      <c r="D444" s="14"/>
      <c r="E444" s="14"/>
      <c r="F444" s="703"/>
      <c r="G444" s="14"/>
      <c r="H444" s="14"/>
      <c r="I444" s="14"/>
      <c r="J444" s="14"/>
      <c r="K444" s="14"/>
      <c r="L444" s="14"/>
      <c r="M444" s="14"/>
      <c r="N444" s="703"/>
      <c r="O444" s="111"/>
      <c r="P444" s="703"/>
      <c r="Q444" s="14"/>
      <c r="R444" s="14"/>
      <c r="S444" s="14"/>
      <c r="T444" s="14"/>
      <c r="U444" s="14"/>
      <c r="V444" s="14"/>
      <c r="W444" s="14"/>
      <c r="X444" s="14"/>
      <c r="Y444" s="14"/>
      <c r="Z444" s="14"/>
      <c r="AA444" s="18"/>
      <c r="AB444" s="19"/>
      <c r="AC444" s="19"/>
      <c r="AD444" s="19"/>
      <c r="AE444" s="19"/>
      <c r="AF444" s="18"/>
      <c r="AG444" s="19"/>
      <c r="AH444" s="19"/>
      <c r="AI444" s="19"/>
      <c r="AJ444" s="19"/>
      <c r="AK444" s="18"/>
      <c r="AL444" s="19"/>
      <c r="AM444" s="19"/>
      <c r="AN444" s="19"/>
      <c r="AO444" s="19"/>
      <c r="AP444" s="18"/>
      <c r="AQ444" s="19"/>
      <c r="AR444" s="19"/>
      <c r="AS444" s="19"/>
      <c r="AT444" s="19"/>
      <c r="AU444" s="18"/>
      <c r="AV444" s="19"/>
      <c r="AW444" s="19"/>
      <c r="AX444" s="19"/>
      <c r="AY444" s="19"/>
      <c r="AZ444" s="18"/>
      <c r="BA444" s="19"/>
      <c r="BB444" s="19"/>
      <c r="BC444" s="19"/>
      <c r="BD444" s="19"/>
      <c r="BE444" s="18"/>
      <c r="BF444" s="19"/>
      <c r="BG444" s="19"/>
      <c r="BH444" s="19"/>
      <c r="BI444" s="19"/>
      <c r="BJ444" s="18"/>
      <c r="BK444" s="19"/>
      <c r="BL444" s="19"/>
      <c r="BM444" s="19"/>
      <c r="BN444" s="19"/>
      <c r="BO444" s="18"/>
      <c r="BP444" s="19"/>
      <c r="BQ444" s="19"/>
      <c r="BR444" s="19"/>
      <c r="BS444" s="19"/>
      <c r="BT444" s="18"/>
      <c r="BU444" s="19"/>
      <c r="BV444" s="19"/>
      <c r="BW444" s="19"/>
      <c r="BX444" s="19"/>
      <c r="BY444" s="18"/>
      <c r="BZ444" s="19"/>
      <c r="CA444" s="19"/>
      <c r="CB444" s="19"/>
      <c r="CC444" s="19"/>
      <c r="CD444" s="18"/>
      <c r="CE444" s="19"/>
      <c r="CF444" s="19"/>
      <c r="CG444" s="19"/>
      <c r="CH444" s="19"/>
      <c r="CI444" s="18"/>
      <c r="CJ444" s="19"/>
      <c r="CK444" s="19"/>
      <c r="CL444" s="19"/>
      <c r="CM444" s="19"/>
      <c r="CN444" s="687"/>
      <c r="CO444" s="687"/>
      <c r="CP444" s="687"/>
      <c r="CQ444" s="687"/>
      <c r="CR444" s="687"/>
      <c r="CS444" s="687"/>
      <c r="CT444" s="14"/>
    </row>
    <row r="445" spans="1:98" s="4" customFormat="1" x14ac:dyDescent="0.3">
      <c r="A445" s="14"/>
      <c r="B445" s="292"/>
      <c r="C445" s="292"/>
      <c r="D445" s="14"/>
      <c r="E445" s="14"/>
      <c r="F445" s="703"/>
      <c r="G445" s="14"/>
      <c r="H445" s="14"/>
      <c r="I445" s="14"/>
      <c r="J445" s="14"/>
      <c r="K445" s="14"/>
      <c r="L445" s="14"/>
      <c r="M445" s="14"/>
      <c r="N445" s="703"/>
      <c r="O445" s="111"/>
      <c r="P445" s="703"/>
      <c r="Q445" s="14"/>
      <c r="R445" s="14"/>
      <c r="S445" s="14"/>
      <c r="T445" s="14"/>
      <c r="U445" s="14"/>
      <c r="V445" s="14"/>
      <c r="W445" s="14"/>
      <c r="X445" s="14"/>
      <c r="Y445" s="14"/>
      <c r="Z445" s="14"/>
      <c r="AA445" s="18"/>
      <c r="AB445" s="19"/>
      <c r="AC445" s="19"/>
      <c r="AD445" s="19"/>
      <c r="AE445" s="19"/>
      <c r="AF445" s="18"/>
      <c r="AG445" s="19"/>
      <c r="AH445" s="19"/>
      <c r="AI445" s="19"/>
      <c r="AJ445" s="19"/>
      <c r="AK445" s="18"/>
      <c r="AL445" s="19"/>
      <c r="AM445" s="19"/>
      <c r="AN445" s="19"/>
      <c r="AO445" s="19"/>
      <c r="AP445" s="18"/>
      <c r="AQ445" s="19"/>
      <c r="AR445" s="19"/>
      <c r="AS445" s="19"/>
      <c r="AT445" s="19"/>
      <c r="AU445" s="18"/>
      <c r="AV445" s="19"/>
      <c r="AW445" s="19"/>
      <c r="AX445" s="19"/>
      <c r="AY445" s="19"/>
      <c r="AZ445" s="18"/>
      <c r="BA445" s="19"/>
      <c r="BB445" s="19"/>
      <c r="BC445" s="19"/>
      <c r="BD445" s="19"/>
      <c r="BE445" s="18"/>
      <c r="BF445" s="19"/>
      <c r="BG445" s="19"/>
      <c r="BH445" s="19"/>
      <c r="BI445" s="19"/>
      <c r="BJ445" s="18"/>
      <c r="BK445" s="19"/>
      <c r="BL445" s="19"/>
      <c r="BM445" s="19"/>
      <c r="BN445" s="19"/>
      <c r="BO445" s="18"/>
      <c r="BP445" s="19"/>
      <c r="BQ445" s="19"/>
      <c r="BR445" s="19"/>
      <c r="BS445" s="19"/>
      <c r="BT445" s="18"/>
      <c r="BU445" s="19"/>
      <c r="BV445" s="19"/>
      <c r="BW445" s="19"/>
      <c r="BX445" s="19"/>
      <c r="BY445" s="18"/>
      <c r="BZ445" s="19"/>
      <c r="CA445" s="19"/>
      <c r="CB445" s="19"/>
      <c r="CC445" s="19"/>
      <c r="CD445" s="18"/>
      <c r="CE445" s="19"/>
      <c r="CF445" s="19"/>
      <c r="CG445" s="19"/>
      <c r="CH445" s="19"/>
      <c r="CI445" s="18"/>
      <c r="CJ445" s="19"/>
      <c r="CK445" s="19"/>
      <c r="CL445" s="19"/>
      <c r="CM445" s="19"/>
      <c r="CN445" s="687"/>
      <c r="CO445" s="687"/>
      <c r="CP445" s="687"/>
      <c r="CQ445" s="687"/>
      <c r="CR445" s="687"/>
      <c r="CS445" s="687"/>
      <c r="CT445" s="14"/>
    </row>
    <row r="446" spans="1:98" s="4" customFormat="1" x14ac:dyDescent="0.3">
      <c r="A446" s="14"/>
      <c r="B446" s="292"/>
      <c r="C446" s="292"/>
      <c r="D446" s="14"/>
      <c r="E446" s="14"/>
      <c r="F446" s="703"/>
      <c r="G446" s="14"/>
      <c r="H446" s="14"/>
      <c r="I446" s="14"/>
      <c r="J446" s="14"/>
      <c r="K446" s="14"/>
      <c r="L446" s="14"/>
      <c r="M446" s="14"/>
      <c r="N446" s="703"/>
      <c r="O446" s="111"/>
      <c r="P446" s="703"/>
      <c r="Q446" s="14"/>
      <c r="R446" s="14"/>
      <c r="S446" s="14"/>
      <c r="T446" s="14"/>
      <c r="U446" s="14"/>
      <c r="V446" s="14"/>
      <c r="W446" s="14"/>
      <c r="X446" s="14"/>
      <c r="Y446" s="14"/>
      <c r="Z446" s="14"/>
      <c r="AA446" s="18"/>
      <c r="AB446" s="19"/>
      <c r="AC446" s="19"/>
      <c r="AD446" s="19"/>
      <c r="AE446" s="19"/>
      <c r="AF446" s="18"/>
      <c r="AG446" s="19"/>
      <c r="AH446" s="19"/>
      <c r="AI446" s="19"/>
      <c r="AJ446" s="19"/>
      <c r="AK446" s="18"/>
      <c r="AL446" s="19"/>
      <c r="AM446" s="19"/>
      <c r="AN446" s="19"/>
      <c r="AO446" s="19"/>
      <c r="AP446" s="18"/>
      <c r="AQ446" s="19"/>
      <c r="AR446" s="19"/>
      <c r="AS446" s="19"/>
      <c r="AT446" s="19"/>
      <c r="AU446" s="18"/>
      <c r="AV446" s="19"/>
      <c r="AW446" s="19"/>
      <c r="AX446" s="19"/>
      <c r="AY446" s="19"/>
      <c r="AZ446" s="18"/>
      <c r="BA446" s="19"/>
      <c r="BB446" s="19"/>
      <c r="BC446" s="19"/>
      <c r="BD446" s="19"/>
      <c r="BE446" s="18"/>
      <c r="BF446" s="19"/>
      <c r="BG446" s="19"/>
      <c r="BH446" s="19"/>
      <c r="BI446" s="19"/>
      <c r="BJ446" s="18"/>
      <c r="BK446" s="19"/>
      <c r="BL446" s="19"/>
      <c r="BM446" s="19"/>
      <c r="BN446" s="19"/>
      <c r="BO446" s="18"/>
      <c r="BP446" s="19"/>
      <c r="BQ446" s="19"/>
      <c r="BR446" s="19"/>
      <c r="BS446" s="19"/>
      <c r="BT446" s="18"/>
      <c r="BU446" s="19"/>
      <c r="BV446" s="19"/>
      <c r="BW446" s="19"/>
      <c r="BX446" s="19"/>
      <c r="BY446" s="18"/>
      <c r="BZ446" s="19"/>
      <c r="CA446" s="19"/>
      <c r="CB446" s="19"/>
      <c r="CC446" s="19"/>
      <c r="CD446" s="18"/>
      <c r="CE446" s="19"/>
      <c r="CF446" s="19"/>
      <c r="CG446" s="19"/>
      <c r="CH446" s="19"/>
      <c r="CI446" s="18"/>
      <c r="CJ446" s="19"/>
      <c r="CK446" s="19"/>
      <c r="CL446" s="19"/>
      <c r="CM446" s="19"/>
      <c r="CN446" s="687"/>
      <c r="CO446" s="687"/>
      <c r="CP446" s="687"/>
      <c r="CQ446" s="687"/>
      <c r="CR446" s="687"/>
      <c r="CS446" s="687"/>
      <c r="CT446" s="14"/>
    </row>
    <row r="447" spans="1:98" s="4" customFormat="1" x14ac:dyDescent="0.3">
      <c r="A447" s="14"/>
      <c r="B447" s="292"/>
      <c r="C447" s="292"/>
      <c r="D447" s="14"/>
      <c r="E447" s="14"/>
      <c r="F447" s="703"/>
      <c r="G447" s="14"/>
      <c r="H447" s="14"/>
      <c r="I447" s="14"/>
      <c r="J447" s="14"/>
      <c r="K447" s="14"/>
      <c r="L447" s="14"/>
      <c r="M447" s="14"/>
      <c r="N447" s="703"/>
      <c r="O447" s="111"/>
      <c r="P447" s="703"/>
      <c r="Q447" s="14"/>
      <c r="R447" s="14"/>
      <c r="S447" s="14"/>
      <c r="T447" s="14"/>
      <c r="U447" s="14"/>
      <c r="V447" s="14"/>
      <c r="W447" s="14"/>
      <c r="X447" s="14"/>
      <c r="Y447" s="14"/>
      <c r="Z447" s="14"/>
      <c r="AA447" s="18"/>
      <c r="AB447" s="19"/>
      <c r="AC447" s="19"/>
      <c r="AD447" s="19"/>
      <c r="AE447" s="19"/>
      <c r="AF447" s="18"/>
      <c r="AG447" s="19"/>
      <c r="AH447" s="19"/>
      <c r="AI447" s="19"/>
      <c r="AJ447" s="19"/>
      <c r="AK447" s="18"/>
      <c r="AL447" s="19"/>
      <c r="AM447" s="19"/>
      <c r="AN447" s="19"/>
      <c r="AO447" s="19"/>
      <c r="AP447" s="18"/>
      <c r="AQ447" s="19"/>
      <c r="AR447" s="19"/>
      <c r="AS447" s="19"/>
      <c r="AT447" s="19"/>
      <c r="AU447" s="18"/>
      <c r="AV447" s="19"/>
      <c r="AW447" s="19"/>
      <c r="AX447" s="19"/>
      <c r="AY447" s="19"/>
      <c r="AZ447" s="18"/>
      <c r="BA447" s="19"/>
      <c r="BB447" s="19"/>
      <c r="BC447" s="19"/>
      <c r="BD447" s="19"/>
      <c r="BE447" s="18"/>
      <c r="BF447" s="19"/>
      <c r="BG447" s="19"/>
      <c r="BH447" s="19"/>
      <c r="BI447" s="19"/>
      <c r="BJ447" s="18"/>
      <c r="BK447" s="19"/>
      <c r="BL447" s="19"/>
      <c r="BM447" s="19"/>
      <c r="BN447" s="19"/>
      <c r="BO447" s="18"/>
      <c r="BP447" s="19"/>
      <c r="BQ447" s="19"/>
      <c r="BR447" s="19"/>
      <c r="BS447" s="19"/>
      <c r="BT447" s="18"/>
      <c r="BU447" s="19"/>
      <c r="BV447" s="19"/>
      <c r="BW447" s="19"/>
      <c r="BX447" s="19"/>
      <c r="BY447" s="18"/>
      <c r="BZ447" s="19"/>
      <c r="CA447" s="19"/>
      <c r="CB447" s="19"/>
      <c r="CC447" s="19"/>
      <c r="CD447" s="18"/>
      <c r="CE447" s="19"/>
      <c r="CF447" s="19"/>
      <c r="CG447" s="19"/>
      <c r="CH447" s="19"/>
      <c r="CI447" s="18"/>
      <c r="CJ447" s="19"/>
      <c r="CK447" s="19"/>
      <c r="CL447" s="19"/>
      <c r="CM447" s="19"/>
      <c r="CN447" s="687"/>
      <c r="CO447" s="687"/>
      <c r="CP447" s="687"/>
      <c r="CQ447" s="687"/>
      <c r="CR447" s="687"/>
      <c r="CS447" s="687"/>
      <c r="CT447" s="14"/>
    </row>
    <row r="448" spans="1:98" s="4" customFormat="1" x14ac:dyDescent="0.3">
      <c r="A448" s="14"/>
      <c r="B448" s="292"/>
      <c r="C448" s="292"/>
      <c r="D448" s="14"/>
      <c r="E448" s="14"/>
      <c r="F448" s="703"/>
      <c r="G448" s="14"/>
      <c r="H448" s="14"/>
      <c r="I448" s="14"/>
      <c r="J448" s="14"/>
      <c r="K448" s="14"/>
      <c r="L448" s="14"/>
      <c r="M448" s="14"/>
      <c r="N448" s="703"/>
      <c r="O448" s="111"/>
      <c r="P448" s="703"/>
      <c r="Q448" s="14"/>
      <c r="R448" s="14"/>
      <c r="S448" s="14"/>
      <c r="T448" s="14"/>
      <c r="U448" s="14"/>
      <c r="V448" s="14"/>
      <c r="W448" s="14"/>
      <c r="X448" s="14"/>
      <c r="Y448" s="14"/>
      <c r="Z448" s="14"/>
      <c r="AA448" s="18"/>
      <c r="AB448" s="19"/>
      <c r="AC448" s="19"/>
      <c r="AD448" s="19"/>
      <c r="AE448" s="19"/>
      <c r="AF448" s="18"/>
      <c r="AG448" s="19"/>
      <c r="AH448" s="19"/>
      <c r="AI448" s="19"/>
      <c r="AJ448" s="19"/>
      <c r="AK448" s="18"/>
      <c r="AL448" s="19"/>
      <c r="AM448" s="19"/>
      <c r="AN448" s="19"/>
      <c r="AO448" s="19"/>
      <c r="AP448" s="18"/>
      <c r="AQ448" s="19"/>
      <c r="AR448" s="19"/>
      <c r="AS448" s="19"/>
      <c r="AT448" s="19"/>
      <c r="AU448" s="18"/>
      <c r="AV448" s="19"/>
      <c r="AW448" s="19"/>
      <c r="AX448" s="19"/>
      <c r="AY448" s="19"/>
      <c r="AZ448" s="18"/>
      <c r="BA448" s="19"/>
      <c r="BB448" s="19"/>
      <c r="BC448" s="19"/>
      <c r="BD448" s="19"/>
      <c r="BE448" s="18"/>
      <c r="BF448" s="19"/>
      <c r="BG448" s="19"/>
      <c r="BH448" s="19"/>
      <c r="BI448" s="19"/>
      <c r="BJ448" s="18"/>
      <c r="BK448" s="19"/>
      <c r="BL448" s="19"/>
      <c r="BM448" s="19"/>
      <c r="BN448" s="19"/>
      <c r="BO448" s="18"/>
      <c r="BP448" s="19"/>
      <c r="BQ448" s="19"/>
      <c r="BR448" s="19"/>
      <c r="BS448" s="19"/>
      <c r="BT448" s="18"/>
      <c r="BU448" s="19"/>
      <c r="BV448" s="19"/>
      <c r="BW448" s="19"/>
      <c r="BX448" s="19"/>
      <c r="BY448" s="18"/>
      <c r="BZ448" s="19"/>
      <c r="CA448" s="19"/>
      <c r="CB448" s="19"/>
      <c r="CC448" s="19"/>
      <c r="CD448" s="18"/>
      <c r="CE448" s="19"/>
      <c r="CF448" s="19"/>
      <c r="CG448" s="19"/>
      <c r="CH448" s="19"/>
      <c r="CI448" s="18"/>
      <c r="CJ448" s="19"/>
      <c r="CK448" s="19"/>
      <c r="CL448" s="19"/>
      <c r="CM448" s="19"/>
      <c r="CN448" s="687"/>
      <c r="CO448" s="687"/>
      <c r="CP448" s="687"/>
      <c r="CQ448" s="687"/>
      <c r="CR448" s="687"/>
      <c r="CS448" s="687"/>
      <c r="CT448" s="14"/>
    </row>
    <row r="449" spans="1:98" s="4" customFormat="1" x14ac:dyDescent="0.3">
      <c r="A449" s="14"/>
      <c r="B449" s="292"/>
      <c r="C449" s="292"/>
      <c r="D449" s="14"/>
      <c r="E449" s="14"/>
      <c r="F449" s="703"/>
      <c r="G449" s="14"/>
      <c r="H449" s="14"/>
      <c r="I449" s="14"/>
      <c r="J449" s="14"/>
      <c r="K449" s="14"/>
      <c r="L449" s="14"/>
      <c r="M449" s="14"/>
      <c r="N449" s="703"/>
      <c r="O449" s="111"/>
      <c r="P449" s="703"/>
      <c r="Q449" s="14"/>
      <c r="R449" s="14"/>
      <c r="S449" s="14"/>
      <c r="T449" s="14"/>
      <c r="U449" s="14"/>
      <c r="V449" s="14"/>
      <c r="W449" s="14"/>
      <c r="X449" s="14"/>
      <c r="Y449" s="14"/>
      <c r="Z449" s="14"/>
      <c r="AA449" s="18"/>
      <c r="AB449" s="19"/>
      <c r="AC449" s="19"/>
      <c r="AD449" s="19"/>
      <c r="AE449" s="19"/>
      <c r="AF449" s="18"/>
      <c r="AG449" s="19"/>
      <c r="AH449" s="19"/>
      <c r="AI449" s="19"/>
      <c r="AJ449" s="19"/>
      <c r="AK449" s="18"/>
      <c r="AL449" s="19"/>
      <c r="AM449" s="19"/>
      <c r="AN449" s="19"/>
      <c r="AO449" s="19"/>
      <c r="AP449" s="18"/>
      <c r="AQ449" s="19"/>
      <c r="AR449" s="19"/>
      <c r="AS449" s="19"/>
      <c r="AT449" s="19"/>
      <c r="AU449" s="18"/>
      <c r="AV449" s="19"/>
      <c r="AW449" s="19"/>
      <c r="AX449" s="19"/>
      <c r="AY449" s="19"/>
      <c r="AZ449" s="18"/>
      <c r="BA449" s="19"/>
      <c r="BB449" s="19"/>
      <c r="BC449" s="19"/>
      <c r="BD449" s="19"/>
      <c r="BE449" s="18"/>
      <c r="BF449" s="19"/>
      <c r="BG449" s="19"/>
      <c r="BH449" s="19"/>
      <c r="BI449" s="19"/>
      <c r="BJ449" s="18"/>
      <c r="BK449" s="19"/>
      <c r="BL449" s="19"/>
      <c r="BM449" s="19"/>
      <c r="BN449" s="19"/>
      <c r="BO449" s="18"/>
      <c r="BP449" s="19"/>
      <c r="BQ449" s="19"/>
      <c r="BR449" s="19"/>
      <c r="BS449" s="19"/>
      <c r="BT449" s="18"/>
      <c r="BU449" s="19"/>
      <c r="BV449" s="19"/>
      <c r="BW449" s="19"/>
      <c r="BX449" s="19"/>
      <c r="BY449" s="18"/>
      <c r="BZ449" s="19"/>
      <c r="CA449" s="19"/>
      <c r="CB449" s="19"/>
      <c r="CC449" s="19"/>
      <c r="CD449" s="18"/>
      <c r="CE449" s="19"/>
      <c r="CF449" s="19"/>
      <c r="CG449" s="19"/>
      <c r="CH449" s="19"/>
      <c r="CI449" s="18"/>
      <c r="CJ449" s="19"/>
      <c r="CK449" s="19"/>
      <c r="CL449" s="19"/>
      <c r="CM449" s="19"/>
      <c r="CN449" s="687"/>
      <c r="CO449" s="687"/>
      <c r="CP449" s="687"/>
      <c r="CQ449" s="687"/>
      <c r="CR449" s="687"/>
      <c r="CS449" s="687"/>
      <c r="CT449" s="14"/>
    </row>
    <row r="450" spans="1:98" s="4" customFormat="1" x14ac:dyDescent="0.3">
      <c r="A450" s="14"/>
      <c r="B450" s="292"/>
      <c r="C450" s="292"/>
      <c r="D450" s="14"/>
      <c r="E450" s="14"/>
      <c r="F450" s="703"/>
      <c r="G450" s="14"/>
      <c r="H450" s="14"/>
      <c r="I450" s="14"/>
      <c r="J450" s="14"/>
      <c r="K450" s="14"/>
      <c r="L450" s="14"/>
      <c r="M450" s="14"/>
      <c r="N450" s="703"/>
      <c r="O450" s="111"/>
      <c r="P450" s="703"/>
      <c r="Q450" s="14"/>
      <c r="R450" s="14"/>
      <c r="S450" s="14"/>
      <c r="T450" s="14"/>
      <c r="U450" s="14"/>
      <c r="V450" s="14"/>
      <c r="W450" s="14"/>
      <c r="X450" s="14"/>
      <c r="Y450" s="14"/>
      <c r="Z450" s="14"/>
      <c r="AA450" s="18"/>
      <c r="AB450" s="19"/>
      <c r="AC450" s="19"/>
      <c r="AD450" s="19"/>
      <c r="AE450" s="19"/>
      <c r="AF450" s="18"/>
      <c r="AG450" s="19"/>
      <c r="AH450" s="19"/>
      <c r="AI450" s="19"/>
      <c r="AJ450" s="19"/>
      <c r="AK450" s="18"/>
      <c r="AL450" s="19"/>
      <c r="AM450" s="19"/>
      <c r="AN450" s="19"/>
      <c r="AO450" s="19"/>
      <c r="AP450" s="18"/>
      <c r="AQ450" s="19"/>
      <c r="AR450" s="19"/>
      <c r="AS450" s="19"/>
      <c r="AT450" s="19"/>
      <c r="AU450" s="18"/>
      <c r="AV450" s="19"/>
      <c r="AW450" s="19"/>
      <c r="AX450" s="19"/>
      <c r="AY450" s="19"/>
      <c r="AZ450" s="18"/>
      <c r="BA450" s="19"/>
      <c r="BB450" s="19"/>
      <c r="BC450" s="19"/>
      <c r="BD450" s="19"/>
      <c r="BE450" s="18"/>
      <c r="BF450" s="19"/>
      <c r="BG450" s="19"/>
      <c r="BH450" s="19"/>
      <c r="BI450" s="19"/>
      <c r="BJ450" s="18"/>
      <c r="BK450" s="19"/>
      <c r="BL450" s="19"/>
      <c r="BM450" s="19"/>
      <c r="BN450" s="19"/>
      <c r="BO450" s="18"/>
      <c r="BP450" s="19"/>
      <c r="BQ450" s="19"/>
      <c r="BR450" s="19"/>
      <c r="BS450" s="19"/>
      <c r="BT450" s="18"/>
      <c r="BU450" s="19"/>
      <c r="BV450" s="19"/>
      <c r="BW450" s="19"/>
      <c r="BX450" s="19"/>
      <c r="BY450" s="18"/>
      <c r="BZ450" s="19"/>
      <c r="CA450" s="19"/>
      <c r="CB450" s="19"/>
      <c r="CC450" s="19"/>
      <c r="CD450" s="18"/>
      <c r="CE450" s="19"/>
      <c r="CF450" s="19"/>
      <c r="CG450" s="19"/>
      <c r="CH450" s="19"/>
      <c r="CI450" s="18"/>
      <c r="CJ450" s="19"/>
      <c r="CK450" s="19"/>
      <c r="CL450" s="19"/>
      <c r="CM450" s="19"/>
      <c r="CN450" s="687"/>
      <c r="CO450" s="687"/>
      <c r="CP450" s="687"/>
      <c r="CQ450" s="687"/>
      <c r="CR450" s="687"/>
      <c r="CS450" s="687"/>
      <c r="CT450" s="14"/>
    </row>
    <row r="451" spans="1:98" s="4" customFormat="1" x14ac:dyDescent="0.3">
      <c r="A451" s="14"/>
      <c r="B451" s="292"/>
      <c r="C451" s="292"/>
      <c r="D451" s="14"/>
      <c r="E451" s="14"/>
      <c r="F451" s="703"/>
      <c r="G451" s="14"/>
      <c r="H451" s="14"/>
      <c r="I451" s="14"/>
      <c r="J451" s="14"/>
      <c r="K451" s="14"/>
      <c r="L451" s="14"/>
      <c r="M451" s="14"/>
      <c r="N451" s="703"/>
      <c r="O451" s="111"/>
      <c r="P451" s="703"/>
      <c r="Q451" s="14"/>
      <c r="R451" s="14"/>
      <c r="S451" s="14"/>
      <c r="T451" s="14"/>
      <c r="U451" s="14"/>
      <c r="V451" s="14"/>
      <c r="W451" s="14"/>
      <c r="X451" s="14"/>
      <c r="Y451" s="14"/>
      <c r="Z451" s="14"/>
      <c r="AA451" s="18"/>
      <c r="AB451" s="19"/>
      <c r="AC451" s="19"/>
      <c r="AD451" s="19"/>
      <c r="AE451" s="19"/>
      <c r="AF451" s="18"/>
      <c r="AG451" s="19"/>
      <c r="AH451" s="19"/>
      <c r="AI451" s="19"/>
      <c r="AJ451" s="19"/>
      <c r="AK451" s="18"/>
      <c r="AL451" s="19"/>
      <c r="AM451" s="19"/>
      <c r="AN451" s="19"/>
      <c r="AO451" s="19"/>
      <c r="AP451" s="18"/>
      <c r="AQ451" s="19"/>
      <c r="AR451" s="19"/>
      <c r="AS451" s="19"/>
      <c r="AT451" s="19"/>
      <c r="AU451" s="18"/>
      <c r="AV451" s="19"/>
      <c r="AW451" s="19"/>
      <c r="AX451" s="19"/>
      <c r="AY451" s="19"/>
      <c r="AZ451" s="18"/>
      <c r="BA451" s="19"/>
      <c r="BB451" s="19"/>
      <c r="BC451" s="19"/>
      <c r="BD451" s="19"/>
      <c r="BE451" s="18"/>
      <c r="BF451" s="19"/>
      <c r="BG451" s="19"/>
      <c r="BH451" s="19"/>
      <c r="BI451" s="19"/>
      <c r="BJ451" s="18"/>
      <c r="BK451" s="19"/>
      <c r="BL451" s="19"/>
      <c r="BM451" s="19"/>
      <c r="BN451" s="19"/>
      <c r="BO451" s="18"/>
      <c r="BP451" s="19"/>
      <c r="BQ451" s="19"/>
      <c r="BR451" s="19"/>
      <c r="BS451" s="19"/>
      <c r="BT451" s="18"/>
      <c r="BU451" s="19"/>
      <c r="BV451" s="19"/>
      <c r="BW451" s="19"/>
      <c r="BX451" s="19"/>
      <c r="BY451" s="18"/>
      <c r="BZ451" s="19"/>
      <c r="CA451" s="19"/>
      <c r="CB451" s="19"/>
      <c r="CC451" s="19"/>
      <c r="CD451" s="18"/>
      <c r="CE451" s="19"/>
      <c r="CF451" s="19"/>
      <c r="CG451" s="19"/>
      <c r="CH451" s="19"/>
      <c r="CI451" s="18"/>
      <c r="CJ451" s="19"/>
      <c r="CK451" s="19"/>
      <c r="CL451" s="19"/>
      <c r="CM451" s="19"/>
      <c r="CN451" s="687"/>
      <c r="CO451" s="687"/>
      <c r="CP451" s="687"/>
      <c r="CQ451" s="687"/>
      <c r="CR451" s="687"/>
      <c r="CS451" s="687"/>
      <c r="CT451" s="14"/>
    </row>
    <row r="452" spans="1:98" s="4" customFormat="1" x14ac:dyDescent="0.3">
      <c r="A452" s="14"/>
      <c r="B452" s="292"/>
      <c r="C452" s="292"/>
      <c r="D452" s="14"/>
      <c r="E452" s="14"/>
      <c r="F452" s="703"/>
      <c r="G452" s="14"/>
      <c r="H452" s="14"/>
      <c r="I452" s="14"/>
      <c r="J452" s="14"/>
      <c r="K452" s="14"/>
      <c r="L452" s="14"/>
      <c r="M452" s="14"/>
      <c r="N452" s="703"/>
      <c r="O452" s="111"/>
      <c r="P452" s="703"/>
      <c r="Q452" s="14"/>
      <c r="R452" s="14"/>
      <c r="S452" s="14"/>
      <c r="T452" s="14"/>
      <c r="U452" s="14"/>
      <c r="V452" s="14"/>
      <c r="W452" s="14"/>
      <c r="X452" s="14"/>
      <c r="Y452" s="14"/>
      <c r="Z452" s="14"/>
      <c r="AA452" s="18"/>
      <c r="AB452" s="19"/>
      <c r="AC452" s="19"/>
      <c r="AD452" s="19"/>
      <c r="AE452" s="19"/>
      <c r="AF452" s="18"/>
      <c r="AG452" s="19"/>
      <c r="AH452" s="19"/>
      <c r="AI452" s="19"/>
      <c r="AJ452" s="19"/>
      <c r="AK452" s="18"/>
      <c r="AL452" s="19"/>
      <c r="AM452" s="19"/>
      <c r="AN452" s="19"/>
      <c r="AO452" s="19"/>
      <c r="AP452" s="18"/>
      <c r="AQ452" s="19"/>
      <c r="AR452" s="19"/>
      <c r="AS452" s="19"/>
      <c r="AT452" s="19"/>
      <c r="AU452" s="18"/>
      <c r="AV452" s="19"/>
      <c r="AW452" s="19"/>
      <c r="AX452" s="19"/>
      <c r="AY452" s="19"/>
      <c r="AZ452" s="18"/>
      <c r="BA452" s="19"/>
      <c r="BB452" s="19"/>
      <c r="BC452" s="19"/>
      <c r="BD452" s="19"/>
      <c r="BE452" s="18"/>
      <c r="BF452" s="19"/>
      <c r="BG452" s="19"/>
      <c r="BH452" s="19"/>
      <c r="BI452" s="19"/>
      <c r="BJ452" s="18"/>
      <c r="BK452" s="19"/>
      <c r="BL452" s="19"/>
      <c r="BM452" s="19"/>
      <c r="BN452" s="19"/>
      <c r="BO452" s="18"/>
      <c r="BP452" s="19"/>
      <c r="BQ452" s="19"/>
      <c r="BR452" s="19"/>
      <c r="BS452" s="19"/>
      <c r="BT452" s="18"/>
      <c r="BU452" s="19"/>
      <c r="BV452" s="19"/>
      <c r="BW452" s="19"/>
      <c r="BX452" s="19"/>
      <c r="BY452" s="18"/>
      <c r="BZ452" s="19"/>
      <c r="CA452" s="19"/>
      <c r="CB452" s="19"/>
      <c r="CC452" s="19"/>
      <c r="CD452" s="18"/>
      <c r="CE452" s="19"/>
      <c r="CF452" s="19"/>
      <c r="CG452" s="19"/>
      <c r="CH452" s="19"/>
      <c r="CI452" s="18"/>
      <c r="CJ452" s="19"/>
      <c r="CK452" s="19"/>
      <c r="CL452" s="19"/>
      <c r="CM452" s="19"/>
      <c r="CN452" s="687"/>
      <c r="CO452" s="687"/>
      <c r="CP452" s="687"/>
      <c r="CQ452" s="687"/>
      <c r="CR452" s="687"/>
      <c r="CS452" s="687"/>
      <c r="CT452" s="14"/>
    </row>
    <row r="453" spans="1:98" s="4" customFormat="1" x14ac:dyDescent="0.3">
      <c r="A453" s="14"/>
      <c r="B453" s="292"/>
      <c r="C453" s="292"/>
      <c r="D453" s="14"/>
      <c r="E453" s="14"/>
      <c r="F453" s="703"/>
      <c r="G453" s="14"/>
      <c r="H453" s="14"/>
      <c r="I453" s="14"/>
      <c r="J453" s="14"/>
      <c r="K453" s="14"/>
      <c r="L453" s="14"/>
      <c r="M453" s="14"/>
      <c r="N453" s="703"/>
      <c r="O453" s="111"/>
      <c r="P453" s="703"/>
      <c r="Q453" s="14"/>
      <c r="R453" s="14"/>
      <c r="S453" s="14"/>
      <c r="T453" s="14"/>
      <c r="U453" s="14"/>
      <c r="V453" s="14"/>
      <c r="W453" s="14"/>
      <c r="X453" s="14"/>
      <c r="Y453" s="14"/>
      <c r="Z453" s="14"/>
      <c r="AA453" s="18"/>
      <c r="AB453" s="19"/>
      <c r="AC453" s="19"/>
      <c r="AD453" s="19"/>
      <c r="AE453" s="19"/>
      <c r="AF453" s="18"/>
      <c r="AG453" s="19"/>
      <c r="AH453" s="19"/>
      <c r="AI453" s="19"/>
      <c r="AJ453" s="19"/>
      <c r="AK453" s="18"/>
      <c r="AL453" s="19"/>
      <c r="AM453" s="19"/>
      <c r="AN453" s="19"/>
      <c r="AO453" s="19"/>
      <c r="AP453" s="18"/>
      <c r="AQ453" s="19"/>
      <c r="AR453" s="19"/>
      <c r="AS453" s="19"/>
      <c r="AT453" s="19"/>
      <c r="AU453" s="18"/>
      <c r="AV453" s="19"/>
      <c r="AW453" s="19"/>
      <c r="AX453" s="19"/>
      <c r="AY453" s="19"/>
      <c r="AZ453" s="18"/>
      <c r="BA453" s="19"/>
      <c r="BB453" s="19"/>
      <c r="BC453" s="19"/>
      <c r="BD453" s="19"/>
      <c r="BE453" s="18"/>
      <c r="BF453" s="19"/>
      <c r="BG453" s="19"/>
      <c r="BH453" s="19"/>
      <c r="BI453" s="19"/>
      <c r="BJ453" s="18"/>
      <c r="BK453" s="19"/>
      <c r="BL453" s="19"/>
      <c r="BM453" s="19"/>
      <c r="BN453" s="19"/>
      <c r="BO453" s="18"/>
      <c r="BP453" s="19"/>
      <c r="BQ453" s="19"/>
      <c r="BR453" s="19"/>
      <c r="BS453" s="19"/>
      <c r="BT453" s="18"/>
      <c r="BU453" s="19"/>
      <c r="BV453" s="19"/>
      <c r="BW453" s="19"/>
      <c r="BX453" s="19"/>
      <c r="BY453" s="18"/>
      <c r="BZ453" s="19"/>
      <c r="CA453" s="19"/>
      <c r="CB453" s="19"/>
      <c r="CC453" s="19"/>
      <c r="CD453" s="18"/>
      <c r="CE453" s="19"/>
      <c r="CF453" s="19"/>
      <c r="CG453" s="19"/>
      <c r="CH453" s="19"/>
      <c r="CI453" s="18"/>
      <c r="CJ453" s="19"/>
      <c r="CK453" s="19"/>
      <c r="CL453" s="19"/>
      <c r="CM453" s="19"/>
      <c r="CN453" s="687"/>
      <c r="CO453" s="687"/>
      <c r="CP453" s="687"/>
      <c r="CQ453" s="687"/>
      <c r="CR453" s="687"/>
      <c r="CS453" s="687"/>
      <c r="CT453" s="14"/>
    </row>
    <row r="454" spans="1:98" s="4" customFormat="1" x14ac:dyDescent="0.3">
      <c r="A454" s="14"/>
      <c r="B454" s="292"/>
      <c r="C454" s="292"/>
      <c r="D454" s="14"/>
      <c r="E454" s="14"/>
      <c r="F454" s="703"/>
      <c r="G454" s="14"/>
      <c r="H454" s="14"/>
      <c r="I454" s="14"/>
      <c r="J454" s="14"/>
      <c r="K454" s="14"/>
      <c r="L454" s="14"/>
      <c r="M454" s="14"/>
      <c r="N454" s="703"/>
      <c r="O454" s="111"/>
      <c r="P454" s="703"/>
      <c r="Q454" s="14"/>
      <c r="R454" s="14"/>
      <c r="S454" s="14"/>
      <c r="T454" s="14"/>
      <c r="U454" s="14"/>
      <c r="V454" s="14"/>
      <c r="W454" s="14"/>
      <c r="X454" s="14"/>
      <c r="Y454" s="14"/>
      <c r="Z454" s="14"/>
      <c r="AA454" s="18"/>
      <c r="AB454" s="19"/>
      <c r="AC454" s="19"/>
      <c r="AD454" s="19"/>
      <c r="AE454" s="19"/>
      <c r="AF454" s="18"/>
      <c r="AG454" s="19"/>
      <c r="AH454" s="19"/>
      <c r="AI454" s="19"/>
      <c r="AJ454" s="19"/>
      <c r="AK454" s="18"/>
      <c r="AL454" s="19"/>
      <c r="AM454" s="19"/>
      <c r="AN454" s="19"/>
      <c r="AO454" s="19"/>
      <c r="AP454" s="18"/>
      <c r="AQ454" s="19"/>
      <c r="AR454" s="19"/>
      <c r="AS454" s="19"/>
      <c r="AT454" s="19"/>
      <c r="AU454" s="18"/>
      <c r="AV454" s="19"/>
      <c r="AW454" s="19"/>
      <c r="AX454" s="19"/>
      <c r="AY454" s="19"/>
      <c r="AZ454" s="18"/>
      <c r="BA454" s="19"/>
      <c r="BB454" s="19"/>
      <c r="BC454" s="19"/>
      <c r="BD454" s="19"/>
      <c r="BE454" s="18"/>
      <c r="BF454" s="19"/>
      <c r="BG454" s="19"/>
      <c r="BH454" s="19"/>
      <c r="BI454" s="19"/>
      <c r="BJ454" s="18"/>
      <c r="BK454" s="19"/>
      <c r="BL454" s="19"/>
      <c r="BM454" s="19"/>
      <c r="BN454" s="19"/>
      <c r="BO454" s="18"/>
      <c r="BP454" s="19"/>
      <c r="BQ454" s="19"/>
      <c r="BR454" s="19"/>
      <c r="BS454" s="19"/>
      <c r="BT454" s="18"/>
      <c r="BU454" s="19"/>
      <c r="BV454" s="19"/>
      <c r="BW454" s="19"/>
      <c r="BX454" s="19"/>
      <c r="BY454" s="18"/>
      <c r="BZ454" s="19"/>
      <c r="CA454" s="19"/>
      <c r="CB454" s="19"/>
      <c r="CC454" s="19"/>
      <c r="CD454" s="18"/>
      <c r="CE454" s="19"/>
      <c r="CF454" s="19"/>
      <c r="CG454" s="19"/>
      <c r="CH454" s="19"/>
      <c r="CI454" s="18"/>
      <c r="CJ454" s="19"/>
      <c r="CK454" s="19"/>
      <c r="CL454" s="19"/>
      <c r="CM454" s="19"/>
      <c r="CN454" s="687"/>
      <c r="CO454" s="687"/>
      <c r="CP454" s="687"/>
      <c r="CQ454" s="687"/>
      <c r="CR454" s="687"/>
      <c r="CS454" s="687"/>
      <c r="CT454" s="14"/>
    </row>
    <row r="455" spans="1:98" s="4" customFormat="1" x14ac:dyDescent="0.3">
      <c r="A455" s="14"/>
      <c r="B455" s="292"/>
      <c r="C455" s="292"/>
      <c r="D455" s="14"/>
      <c r="E455" s="14"/>
      <c r="F455" s="703"/>
      <c r="G455" s="14"/>
      <c r="H455" s="14"/>
      <c r="I455" s="14"/>
      <c r="J455" s="14"/>
      <c r="K455" s="14"/>
      <c r="L455" s="14"/>
      <c r="M455" s="14"/>
      <c r="N455" s="703"/>
      <c r="O455" s="111"/>
      <c r="P455" s="703"/>
      <c r="Q455" s="14"/>
      <c r="R455" s="14"/>
      <c r="S455" s="14"/>
      <c r="T455" s="14"/>
      <c r="U455" s="14"/>
      <c r="V455" s="14"/>
      <c r="W455" s="14"/>
      <c r="X455" s="14"/>
      <c r="Y455" s="14"/>
      <c r="Z455" s="14"/>
      <c r="AA455" s="18"/>
      <c r="AB455" s="19"/>
      <c r="AC455" s="19"/>
      <c r="AD455" s="19"/>
      <c r="AE455" s="19"/>
      <c r="AF455" s="18"/>
      <c r="AG455" s="19"/>
      <c r="AH455" s="19"/>
      <c r="AI455" s="19"/>
      <c r="AJ455" s="19"/>
      <c r="AK455" s="18"/>
      <c r="AL455" s="19"/>
      <c r="AM455" s="19"/>
      <c r="AN455" s="19"/>
      <c r="AO455" s="19"/>
      <c r="AP455" s="18"/>
      <c r="AQ455" s="19"/>
      <c r="AR455" s="19"/>
      <c r="AS455" s="19"/>
      <c r="AT455" s="19"/>
      <c r="AU455" s="18"/>
      <c r="AV455" s="19"/>
      <c r="AW455" s="19"/>
      <c r="AX455" s="19"/>
      <c r="AY455" s="19"/>
      <c r="AZ455" s="18"/>
      <c r="BA455" s="19"/>
      <c r="BB455" s="19"/>
      <c r="BC455" s="19"/>
      <c r="BD455" s="19"/>
      <c r="BE455" s="18"/>
      <c r="BF455" s="19"/>
      <c r="BG455" s="19"/>
      <c r="BH455" s="19"/>
      <c r="BI455" s="19"/>
      <c r="BJ455" s="18"/>
      <c r="BK455" s="19"/>
      <c r="BL455" s="19"/>
      <c r="BM455" s="19"/>
      <c r="BN455" s="19"/>
      <c r="BO455" s="18"/>
      <c r="BP455" s="19"/>
      <c r="BQ455" s="19"/>
      <c r="BR455" s="19"/>
      <c r="BS455" s="19"/>
      <c r="BT455" s="18"/>
      <c r="BU455" s="19"/>
      <c r="BV455" s="19"/>
      <c r="BW455" s="19"/>
      <c r="BX455" s="19"/>
      <c r="BY455" s="18"/>
      <c r="BZ455" s="19"/>
      <c r="CA455" s="19"/>
      <c r="CB455" s="19"/>
      <c r="CC455" s="19"/>
      <c r="CD455" s="18"/>
      <c r="CE455" s="19"/>
      <c r="CF455" s="19"/>
      <c r="CG455" s="19"/>
      <c r="CH455" s="19"/>
      <c r="CI455" s="18"/>
      <c r="CJ455" s="19"/>
      <c r="CK455" s="19"/>
      <c r="CL455" s="19"/>
      <c r="CM455" s="19"/>
      <c r="CN455" s="687"/>
      <c r="CO455" s="687"/>
      <c r="CP455" s="687"/>
      <c r="CQ455" s="687"/>
      <c r="CR455" s="687"/>
      <c r="CS455" s="687"/>
      <c r="CT455" s="14"/>
    </row>
    <row r="456" spans="1:98" s="4" customFormat="1" x14ac:dyDescent="0.3">
      <c r="A456" s="14"/>
      <c r="B456" s="292"/>
      <c r="C456" s="292"/>
      <c r="D456" s="14"/>
      <c r="E456" s="14"/>
      <c r="F456" s="703"/>
      <c r="G456" s="14"/>
      <c r="H456" s="14"/>
      <c r="I456" s="14"/>
      <c r="J456" s="14"/>
      <c r="K456" s="14"/>
      <c r="L456" s="14"/>
      <c r="M456" s="14"/>
      <c r="N456" s="703"/>
      <c r="O456" s="111"/>
      <c r="P456" s="703"/>
      <c r="Q456" s="14"/>
      <c r="R456" s="14"/>
      <c r="S456" s="14"/>
      <c r="T456" s="14"/>
      <c r="U456" s="14"/>
      <c r="V456" s="14"/>
      <c r="W456" s="14"/>
      <c r="X456" s="14"/>
      <c r="Y456" s="14"/>
      <c r="Z456" s="14"/>
      <c r="AA456" s="18"/>
      <c r="AB456" s="19"/>
      <c r="AC456" s="19"/>
      <c r="AD456" s="19"/>
      <c r="AE456" s="19"/>
      <c r="AF456" s="18"/>
      <c r="AG456" s="19"/>
      <c r="AH456" s="19"/>
      <c r="AI456" s="19"/>
      <c r="AJ456" s="19"/>
      <c r="AK456" s="18"/>
      <c r="AL456" s="19"/>
      <c r="AM456" s="19"/>
      <c r="AN456" s="19"/>
      <c r="AO456" s="19"/>
      <c r="AP456" s="18"/>
      <c r="AQ456" s="19"/>
      <c r="AR456" s="19"/>
      <c r="AS456" s="19"/>
      <c r="AT456" s="19"/>
      <c r="AU456" s="18"/>
      <c r="AV456" s="19"/>
      <c r="AW456" s="19"/>
      <c r="AX456" s="19"/>
      <c r="AY456" s="19"/>
      <c r="AZ456" s="18"/>
      <c r="BA456" s="19"/>
      <c r="BB456" s="19"/>
      <c r="BC456" s="19"/>
      <c r="BD456" s="19"/>
      <c r="BE456" s="18"/>
      <c r="BF456" s="19"/>
      <c r="BG456" s="19"/>
      <c r="BH456" s="19"/>
      <c r="BI456" s="19"/>
      <c r="BJ456" s="18"/>
      <c r="BK456" s="19"/>
      <c r="BL456" s="19"/>
      <c r="BM456" s="19"/>
      <c r="BN456" s="19"/>
      <c r="BO456" s="18"/>
      <c r="BP456" s="19"/>
      <c r="BQ456" s="19"/>
      <c r="BR456" s="19"/>
      <c r="BS456" s="19"/>
      <c r="BT456" s="18"/>
      <c r="BU456" s="19"/>
      <c r="BV456" s="19"/>
      <c r="BW456" s="19"/>
      <c r="BX456" s="19"/>
      <c r="BY456" s="18"/>
      <c r="BZ456" s="19"/>
      <c r="CA456" s="19"/>
      <c r="CB456" s="19"/>
      <c r="CC456" s="19"/>
      <c r="CD456" s="18"/>
      <c r="CE456" s="19"/>
      <c r="CF456" s="19"/>
      <c r="CG456" s="19"/>
      <c r="CH456" s="19"/>
      <c r="CI456" s="18"/>
      <c r="CJ456" s="19"/>
      <c r="CK456" s="19"/>
      <c r="CL456" s="19"/>
      <c r="CM456" s="19"/>
      <c r="CN456" s="687"/>
      <c r="CO456" s="687"/>
      <c r="CP456" s="687"/>
      <c r="CQ456" s="687"/>
      <c r="CR456" s="687"/>
      <c r="CS456" s="687"/>
      <c r="CT456" s="14"/>
    </row>
    <row r="457" spans="1:98" s="4" customFormat="1" x14ac:dyDescent="0.3">
      <c r="A457" s="14"/>
      <c r="B457" s="292"/>
      <c r="C457" s="292"/>
      <c r="D457" s="14"/>
      <c r="E457" s="14"/>
      <c r="F457" s="703"/>
      <c r="G457" s="14"/>
      <c r="H457" s="14"/>
      <c r="I457" s="14"/>
      <c r="J457" s="14"/>
      <c r="K457" s="14"/>
      <c r="L457" s="14"/>
      <c r="M457" s="14"/>
      <c r="N457" s="703"/>
      <c r="O457" s="111"/>
      <c r="P457" s="703"/>
      <c r="Q457" s="14"/>
      <c r="R457" s="14"/>
      <c r="S457" s="14"/>
      <c r="T457" s="14"/>
      <c r="U457" s="14"/>
      <c r="V457" s="14"/>
      <c r="W457" s="14"/>
      <c r="X457" s="14"/>
      <c r="Y457" s="14"/>
      <c r="Z457" s="14"/>
      <c r="AA457" s="18"/>
      <c r="AB457" s="19"/>
      <c r="AC457" s="19"/>
      <c r="AD457" s="19"/>
      <c r="AE457" s="19"/>
      <c r="AF457" s="18"/>
      <c r="AG457" s="19"/>
      <c r="AH457" s="19"/>
      <c r="AI457" s="19"/>
      <c r="AJ457" s="19"/>
      <c r="AK457" s="18"/>
      <c r="AL457" s="19"/>
      <c r="AM457" s="19"/>
      <c r="AN457" s="19"/>
      <c r="AO457" s="19"/>
      <c r="AP457" s="18"/>
      <c r="AQ457" s="19"/>
      <c r="AR457" s="19"/>
      <c r="AS457" s="19"/>
      <c r="AT457" s="19"/>
      <c r="AU457" s="18"/>
      <c r="AV457" s="19"/>
      <c r="AW457" s="19"/>
      <c r="AX457" s="19"/>
      <c r="AY457" s="19"/>
      <c r="AZ457" s="18"/>
      <c r="BA457" s="19"/>
      <c r="BB457" s="19"/>
      <c r="BC457" s="19"/>
      <c r="BD457" s="19"/>
      <c r="BE457" s="18"/>
      <c r="BF457" s="19"/>
      <c r="BG457" s="19"/>
      <c r="BH457" s="19"/>
      <c r="BI457" s="19"/>
      <c r="BJ457" s="18"/>
      <c r="BK457" s="19"/>
      <c r="BL457" s="19"/>
      <c r="BM457" s="19"/>
      <c r="BN457" s="19"/>
      <c r="BO457" s="18"/>
      <c r="BP457" s="19"/>
      <c r="BQ457" s="19"/>
      <c r="BR457" s="19"/>
      <c r="BS457" s="19"/>
      <c r="BT457" s="18"/>
      <c r="BU457" s="19"/>
      <c r="BV457" s="19"/>
      <c r="BW457" s="19"/>
      <c r="BX457" s="19"/>
      <c r="BY457" s="18"/>
      <c r="BZ457" s="19"/>
      <c r="CA457" s="19"/>
      <c r="CB457" s="19"/>
      <c r="CC457" s="19"/>
      <c r="CD457" s="18"/>
      <c r="CE457" s="19"/>
      <c r="CF457" s="19"/>
      <c r="CG457" s="19"/>
      <c r="CH457" s="19"/>
      <c r="CI457" s="18"/>
      <c r="CJ457" s="19"/>
      <c r="CK457" s="19"/>
      <c r="CL457" s="19"/>
      <c r="CM457" s="19"/>
      <c r="CN457" s="687"/>
      <c r="CO457" s="687"/>
      <c r="CP457" s="687"/>
      <c r="CQ457" s="687"/>
      <c r="CR457" s="687"/>
      <c r="CS457" s="687"/>
      <c r="CT457" s="14"/>
    </row>
    <row r="458" spans="1:98" s="4" customFormat="1" x14ac:dyDescent="0.3">
      <c r="A458" s="14"/>
      <c r="B458" s="292"/>
      <c r="C458" s="292"/>
      <c r="D458" s="14"/>
      <c r="E458" s="14"/>
      <c r="F458" s="703"/>
      <c r="G458" s="14"/>
      <c r="H458" s="14"/>
      <c r="I458" s="14"/>
      <c r="J458" s="14"/>
      <c r="K458" s="14"/>
      <c r="L458" s="14"/>
      <c r="M458" s="14"/>
      <c r="N458" s="703"/>
      <c r="O458" s="111"/>
      <c r="P458" s="703"/>
      <c r="Q458" s="14"/>
      <c r="R458" s="14"/>
      <c r="S458" s="14"/>
      <c r="T458" s="14"/>
      <c r="U458" s="14"/>
      <c r="V458" s="14"/>
      <c r="W458" s="14"/>
      <c r="X458" s="14"/>
      <c r="Y458" s="14"/>
      <c r="Z458" s="14"/>
      <c r="AA458" s="18"/>
      <c r="AB458" s="19"/>
      <c r="AC458" s="19"/>
      <c r="AD458" s="19"/>
      <c r="AE458" s="19"/>
      <c r="AF458" s="18"/>
      <c r="AG458" s="19"/>
      <c r="AH458" s="19"/>
      <c r="AI458" s="19"/>
      <c r="AJ458" s="19"/>
      <c r="AK458" s="18"/>
      <c r="AL458" s="19"/>
      <c r="AM458" s="19"/>
      <c r="AN458" s="19"/>
      <c r="AO458" s="19"/>
      <c r="AP458" s="18"/>
      <c r="AQ458" s="19"/>
      <c r="AR458" s="19"/>
      <c r="AS458" s="19"/>
      <c r="AT458" s="19"/>
      <c r="AU458" s="18"/>
      <c r="AV458" s="19"/>
      <c r="AW458" s="19"/>
      <c r="AX458" s="19"/>
      <c r="AY458" s="19"/>
      <c r="AZ458" s="18"/>
      <c r="BA458" s="19"/>
      <c r="BB458" s="19"/>
      <c r="BC458" s="19"/>
      <c r="BD458" s="19"/>
      <c r="BE458" s="18"/>
      <c r="BF458" s="19"/>
      <c r="BG458" s="19"/>
      <c r="BH458" s="19"/>
      <c r="BI458" s="19"/>
      <c r="BJ458" s="18"/>
      <c r="BK458" s="19"/>
      <c r="BL458" s="19"/>
      <c r="BM458" s="19"/>
      <c r="BN458" s="19"/>
      <c r="BO458" s="18"/>
      <c r="BP458" s="19"/>
      <c r="BQ458" s="19"/>
      <c r="BR458" s="19"/>
      <c r="BS458" s="19"/>
      <c r="BT458" s="18"/>
      <c r="BU458" s="19"/>
      <c r="BV458" s="19"/>
      <c r="BW458" s="19"/>
      <c r="BX458" s="19"/>
      <c r="BY458" s="18"/>
      <c r="BZ458" s="19"/>
      <c r="CA458" s="19"/>
      <c r="CB458" s="19"/>
      <c r="CC458" s="19"/>
      <c r="CD458" s="18"/>
      <c r="CE458" s="19"/>
      <c r="CF458" s="19"/>
      <c r="CG458" s="19"/>
      <c r="CH458" s="19"/>
      <c r="CI458" s="18"/>
      <c r="CJ458" s="19"/>
      <c r="CK458" s="19"/>
      <c r="CL458" s="19"/>
      <c r="CM458" s="19"/>
      <c r="CN458" s="687"/>
      <c r="CO458" s="687"/>
      <c r="CP458" s="687"/>
      <c r="CQ458" s="687"/>
      <c r="CR458" s="687"/>
      <c r="CS458" s="687"/>
      <c r="CT458" s="14"/>
    </row>
    <row r="459" spans="1:98" s="4" customFormat="1" x14ac:dyDescent="0.3">
      <c r="A459" s="14"/>
      <c r="B459" s="292"/>
      <c r="C459" s="292"/>
      <c r="D459" s="14"/>
      <c r="E459" s="14"/>
      <c r="F459" s="703"/>
      <c r="G459" s="14"/>
      <c r="H459" s="14"/>
      <c r="I459" s="14"/>
      <c r="J459" s="14"/>
      <c r="K459" s="14"/>
      <c r="L459" s="14"/>
      <c r="M459" s="14"/>
      <c r="N459" s="703"/>
      <c r="O459" s="111"/>
      <c r="P459" s="703"/>
      <c r="Q459" s="14"/>
      <c r="R459" s="14"/>
      <c r="S459" s="14"/>
      <c r="T459" s="14"/>
      <c r="U459" s="14"/>
      <c r="V459" s="14"/>
      <c r="W459" s="14"/>
      <c r="X459" s="14"/>
      <c r="Y459" s="14"/>
      <c r="Z459" s="14"/>
      <c r="AA459" s="18"/>
      <c r="AB459" s="19"/>
      <c r="AC459" s="19"/>
      <c r="AD459" s="19"/>
      <c r="AE459" s="19"/>
      <c r="AF459" s="18"/>
      <c r="AG459" s="19"/>
      <c r="AH459" s="19"/>
      <c r="AI459" s="19"/>
      <c r="AJ459" s="19"/>
      <c r="AK459" s="18"/>
      <c r="AL459" s="19"/>
      <c r="AM459" s="19"/>
      <c r="AN459" s="19"/>
      <c r="AO459" s="19"/>
      <c r="AP459" s="18"/>
      <c r="AQ459" s="19"/>
      <c r="AR459" s="19"/>
      <c r="AS459" s="19"/>
      <c r="AT459" s="19"/>
      <c r="AU459" s="18"/>
      <c r="AV459" s="19"/>
      <c r="AW459" s="19"/>
      <c r="AX459" s="19"/>
      <c r="AY459" s="19"/>
      <c r="AZ459" s="18"/>
      <c r="BA459" s="19"/>
      <c r="BB459" s="19"/>
      <c r="BC459" s="19"/>
      <c r="BD459" s="19"/>
      <c r="BE459" s="18"/>
      <c r="BF459" s="19"/>
      <c r="BG459" s="19"/>
      <c r="BH459" s="19"/>
      <c r="BI459" s="19"/>
      <c r="BJ459" s="18"/>
      <c r="BK459" s="19"/>
      <c r="BL459" s="19"/>
      <c r="BM459" s="19"/>
      <c r="BN459" s="19"/>
      <c r="BO459" s="18"/>
      <c r="BP459" s="19"/>
      <c r="BQ459" s="19"/>
      <c r="BR459" s="19"/>
      <c r="BS459" s="19"/>
      <c r="BT459" s="18"/>
      <c r="BU459" s="19"/>
      <c r="BV459" s="19"/>
      <c r="BW459" s="19"/>
      <c r="BX459" s="19"/>
      <c r="BY459" s="18"/>
      <c r="BZ459" s="19"/>
      <c r="CA459" s="19"/>
      <c r="CB459" s="19"/>
      <c r="CC459" s="19"/>
      <c r="CD459" s="18"/>
      <c r="CE459" s="19"/>
      <c r="CF459" s="19"/>
      <c r="CG459" s="19"/>
      <c r="CH459" s="19"/>
      <c r="CI459" s="18"/>
      <c r="CJ459" s="19"/>
      <c r="CK459" s="19"/>
      <c r="CL459" s="19"/>
      <c r="CM459" s="19"/>
      <c r="CN459" s="687"/>
      <c r="CO459" s="687"/>
      <c r="CP459" s="687"/>
      <c r="CQ459" s="687"/>
      <c r="CR459" s="687"/>
      <c r="CS459" s="687"/>
      <c r="CT459" s="14"/>
    </row>
    <row r="460" spans="1:98" s="4" customFormat="1" x14ac:dyDescent="0.3">
      <c r="A460" s="14"/>
      <c r="B460" s="292"/>
      <c r="C460" s="292"/>
      <c r="D460" s="14"/>
      <c r="E460" s="14"/>
      <c r="F460" s="703"/>
      <c r="G460" s="14"/>
      <c r="H460" s="14"/>
      <c r="I460" s="14"/>
      <c r="J460" s="14"/>
      <c r="K460" s="14"/>
      <c r="L460" s="14"/>
      <c r="M460" s="14"/>
      <c r="N460" s="703"/>
      <c r="O460" s="111"/>
      <c r="P460" s="703"/>
      <c r="Q460" s="14"/>
      <c r="R460" s="14"/>
      <c r="S460" s="14"/>
      <c r="T460" s="14"/>
      <c r="U460" s="14"/>
      <c r="V460" s="14"/>
      <c r="W460" s="14"/>
      <c r="X460" s="14"/>
      <c r="Y460" s="14"/>
      <c r="Z460" s="14"/>
      <c r="AA460" s="18"/>
      <c r="AB460" s="19"/>
      <c r="AC460" s="19"/>
      <c r="AD460" s="19"/>
      <c r="AE460" s="19"/>
      <c r="AF460" s="18"/>
      <c r="AG460" s="19"/>
      <c r="AH460" s="19"/>
      <c r="AI460" s="19"/>
      <c r="AJ460" s="19"/>
      <c r="AK460" s="18"/>
      <c r="AL460" s="19"/>
      <c r="AM460" s="19"/>
      <c r="AN460" s="19"/>
      <c r="AO460" s="19"/>
      <c r="AP460" s="18"/>
      <c r="AQ460" s="19"/>
      <c r="AR460" s="19"/>
      <c r="AS460" s="19"/>
      <c r="AT460" s="19"/>
      <c r="AU460" s="18"/>
      <c r="AV460" s="19"/>
      <c r="AW460" s="19"/>
      <c r="AX460" s="19"/>
      <c r="AY460" s="19"/>
      <c r="AZ460" s="18"/>
      <c r="BA460" s="19"/>
      <c r="BB460" s="19"/>
      <c r="BC460" s="19"/>
      <c r="BD460" s="19"/>
      <c r="BE460" s="18"/>
      <c r="BF460" s="19"/>
      <c r="BG460" s="19"/>
      <c r="BH460" s="19"/>
      <c r="BI460" s="19"/>
      <c r="BJ460" s="18"/>
      <c r="BK460" s="19"/>
      <c r="BL460" s="19"/>
      <c r="BM460" s="19"/>
      <c r="BN460" s="19"/>
      <c r="BO460" s="18"/>
      <c r="BP460" s="19"/>
      <c r="BQ460" s="19"/>
      <c r="BR460" s="19"/>
      <c r="BS460" s="19"/>
      <c r="BT460" s="18"/>
      <c r="BU460" s="19"/>
      <c r="BV460" s="19"/>
      <c r="BW460" s="19"/>
      <c r="BX460" s="19"/>
      <c r="BY460" s="18"/>
      <c r="BZ460" s="19"/>
      <c r="CA460" s="19"/>
      <c r="CB460" s="19"/>
      <c r="CC460" s="19"/>
      <c r="CD460" s="18"/>
      <c r="CE460" s="19"/>
      <c r="CF460" s="19"/>
      <c r="CG460" s="19"/>
      <c r="CH460" s="19"/>
      <c r="CI460" s="18"/>
      <c r="CJ460" s="19"/>
      <c r="CK460" s="19"/>
      <c r="CL460" s="19"/>
      <c r="CM460" s="19"/>
      <c r="CN460" s="687"/>
      <c r="CO460" s="687"/>
      <c r="CP460" s="687"/>
      <c r="CQ460" s="687"/>
      <c r="CR460" s="687"/>
      <c r="CS460" s="687"/>
      <c r="CT460" s="14"/>
    </row>
    <row r="461" spans="1:98" s="4" customFormat="1" x14ac:dyDescent="0.3">
      <c r="A461" s="14"/>
      <c r="B461" s="292"/>
      <c r="C461" s="292"/>
      <c r="D461" s="14"/>
      <c r="E461" s="14"/>
      <c r="F461" s="703"/>
      <c r="G461" s="14"/>
      <c r="H461" s="14"/>
      <c r="I461" s="14"/>
      <c r="J461" s="14"/>
      <c r="K461" s="14"/>
      <c r="L461" s="14"/>
      <c r="M461" s="14"/>
      <c r="N461" s="703"/>
      <c r="O461" s="111"/>
      <c r="P461" s="703"/>
      <c r="Q461" s="14"/>
      <c r="R461" s="14"/>
      <c r="S461" s="14"/>
      <c r="T461" s="14"/>
      <c r="U461" s="14"/>
      <c r="V461" s="14"/>
      <c r="W461" s="14"/>
      <c r="X461" s="14"/>
      <c r="Y461" s="14"/>
      <c r="Z461" s="14"/>
      <c r="AA461" s="18"/>
      <c r="AB461" s="19"/>
      <c r="AC461" s="19"/>
      <c r="AD461" s="19"/>
      <c r="AE461" s="19"/>
      <c r="AF461" s="18"/>
      <c r="AG461" s="19"/>
      <c r="AH461" s="19"/>
      <c r="AI461" s="19"/>
      <c r="AJ461" s="19"/>
      <c r="AK461" s="18"/>
      <c r="AL461" s="19"/>
      <c r="AM461" s="19"/>
      <c r="AN461" s="19"/>
      <c r="AO461" s="19"/>
      <c r="AP461" s="18"/>
      <c r="AQ461" s="19"/>
      <c r="AR461" s="19"/>
      <c r="AS461" s="19"/>
      <c r="AT461" s="19"/>
      <c r="AU461" s="18"/>
      <c r="AV461" s="19"/>
      <c r="AW461" s="19"/>
      <c r="AX461" s="19"/>
      <c r="AY461" s="19"/>
      <c r="AZ461" s="18"/>
      <c r="BA461" s="19"/>
      <c r="BB461" s="19"/>
      <c r="BC461" s="19"/>
      <c r="BD461" s="19"/>
      <c r="BE461" s="18"/>
      <c r="BF461" s="19"/>
      <c r="BG461" s="19"/>
      <c r="BH461" s="19"/>
      <c r="BI461" s="19"/>
      <c r="BJ461" s="18"/>
      <c r="BK461" s="19"/>
      <c r="BL461" s="19"/>
      <c r="BM461" s="19"/>
      <c r="BN461" s="19"/>
      <c r="BO461" s="18"/>
      <c r="BP461" s="19"/>
      <c r="BQ461" s="19"/>
      <c r="BR461" s="19"/>
      <c r="BS461" s="19"/>
      <c r="BT461" s="18"/>
      <c r="BU461" s="19"/>
      <c r="BV461" s="19"/>
      <c r="BW461" s="19"/>
      <c r="BX461" s="19"/>
      <c r="BY461" s="18"/>
      <c r="BZ461" s="19"/>
      <c r="CA461" s="19"/>
      <c r="CB461" s="19"/>
      <c r="CC461" s="19"/>
      <c r="CD461" s="18"/>
      <c r="CE461" s="19"/>
      <c r="CF461" s="19"/>
      <c r="CG461" s="19"/>
      <c r="CH461" s="19"/>
      <c r="CI461" s="18"/>
      <c r="CJ461" s="19"/>
      <c r="CK461" s="19"/>
      <c r="CL461" s="19"/>
      <c r="CM461" s="19"/>
      <c r="CN461" s="687"/>
      <c r="CO461" s="687"/>
      <c r="CP461" s="687"/>
      <c r="CQ461" s="687"/>
      <c r="CR461" s="687"/>
      <c r="CS461" s="687"/>
      <c r="CT461" s="14"/>
    </row>
    <row r="462" spans="1:98" s="4" customFormat="1" x14ac:dyDescent="0.3">
      <c r="A462" s="14"/>
      <c r="B462" s="292"/>
      <c r="C462" s="292"/>
      <c r="D462" s="14"/>
      <c r="E462" s="14"/>
      <c r="F462" s="703"/>
      <c r="G462" s="14"/>
      <c r="H462" s="14"/>
      <c r="I462" s="14"/>
      <c r="J462" s="14"/>
      <c r="K462" s="14"/>
      <c r="L462" s="14"/>
      <c r="M462" s="14"/>
      <c r="N462" s="703"/>
      <c r="O462" s="111"/>
      <c r="P462" s="703"/>
      <c r="Q462" s="14"/>
      <c r="R462" s="14"/>
      <c r="S462" s="14"/>
      <c r="T462" s="14"/>
      <c r="U462" s="14"/>
      <c r="V462" s="14"/>
      <c r="W462" s="14"/>
      <c r="X462" s="14"/>
      <c r="Y462" s="14"/>
      <c r="Z462" s="14"/>
      <c r="AA462" s="18"/>
      <c r="AB462" s="19"/>
      <c r="AC462" s="19"/>
      <c r="AD462" s="19"/>
      <c r="AE462" s="19"/>
      <c r="AF462" s="18"/>
      <c r="AG462" s="19"/>
      <c r="AH462" s="19"/>
      <c r="AI462" s="19"/>
      <c r="AJ462" s="19"/>
      <c r="AK462" s="18"/>
      <c r="AL462" s="19"/>
      <c r="AM462" s="19"/>
      <c r="AN462" s="19"/>
      <c r="AO462" s="19"/>
      <c r="AP462" s="18"/>
      <c r="AQ462" s="19"/>
      <c r="AR462" s="19"/>
      <c r="AS462" s="19"/>
      <c r="AT462" s="19"/>
      <c r="AU462" s="18"/>
      <c r="AV462" s="19"/>
      <c r="AW462" s="19"/>
      <c r="AX462" s="19"/>
      <c r="AY462" s="19"/>
      <c r="AZ462" s="18"/>
      <c r="BA462" s="19"/>
      <c r="BB462" s="19"/>
      <c r="BC462" s="19"/>
      <c r="BD462" s="19"/>
      <c r="BE462" s="18"/>
      <c r="BF462" s="19"/>
      <c r="BG462" s="19"/>
      <c r="BH462" s="19"/>
      <c r="BI462" s="19"/>
      <c r="BJ462" s="18"/>
      <c r="BK462" s="19"/>
      <c r="BL462" s="19"/>
      <c r="BM462" s="19"/>
      <c r="BN462" s="19"/>
      <c r="BO462" s="18"/>
      <c r="BP462" s="19"/>
      <c r="BQ462" s="19"/>
      <c r="BR462" s="19"/>
      <c r="BS462" s="19"/>
      <c r="BT462" s="18"/>
      <c r="BU462" s="19"/>
      <c r="BV462" s="19"/>
      <c r="BW462" s="19"/>
      <c r="BX462" s="19"/>
      <c r="BY462" s="18"/>
      <c r="BZ462" s="19"/>
      <c r="CA462" s="19"/>
      <c r="CB462" s="19"/>
      <c r="CC462" s="19"/>
      <c r="CD462" s="18"/>
      <c r="CE462" s="19"/>
      <c r="CF462" s="19"/>
      <c r="CG462" s="19"/>
      <c r="CH462" s="19"/>
      <c r="CI462" s="18"/>
      <c r="CJ462" s="19"/>
      <c r="CK462" s="19"/>
      <c r="CL462" s="19"/>
      <c r="CM462" s="19"/>
      <c r="CN462" s="687"/>
      <c r="CO462" s="687"/>
      <c r="CP462" s="687"/>
      <c r="CQ462" s="687"/>
      <c r="CR462" s="687"/>
      <c r="CS462" s="687"/>
      <c r="CT462" s="14"/>
    </row>
    <row r="463" spans="1:98" s="4" customFormat="1" x14ac:dyDescent="0.3">
      <c r="A463" s="14"/>
      <c r="B463" s="292"/>
      <c r="C463" s="292"/>
      <c r="D463" s="14"/>
      <c r="E463" s="14"/>
      <c r="F463" s="703"/>
      <c r="G463" s="14"/>
      <c r="H463" s="14"/>
      <c r="I463" s="14"/>
      <c r="J463" s="14"/>
      <c r="K463" s="14"/>
      <c r="L463" s="14"/>
      <c r="M463" s="14"/>
      <c r="N463" s="703"/>
      <c r="O463" s="111"/>
      <c r="P463" s="703"/>
      <c r="Q463" s="14"/>
      <c r="R463" s="14"/>
      <c r="S463" s="14"/>
      <c r="T463" s="14"/>
      <c r="U463" s="14"/>
      <c r="V463" s="14"/>
      <c r="W463" s="14"/>
      <c r="X463" s="14"/>
      <c r="Y463" s="14"/>
      <c r="Z463" s="14"/>
      <c r="AA463" s="18"/>
      <c r="AB463" s="19"/>
      <c r="AC463" s="19"/>
      <c r="AD463" s="19"/>
      <c r="AE463" s="19"/>
      <c r="AF463" s="18"/>
      <c r="AG463" s="19"/>
      <c r="AH463" s="19"/>
      <c r="AI463" s="19"/>
      <c r="AJ463" s="19"/>
      <c r="AK463" s="18"/>
      <c r="AL463" s="19"/>
      <c r="AM463" s="19"/>
      <c r="AN463" s="19"/>
      <c r="AO463" s="19"/>
      <c r="AP463" s="18"/>
      <c r="AQ463" s="19"/>
      <c r="AR463" s="19"/>
      <c r="AS463" s="19"/>
      <c r="AT463" s="19"/>
      <c r="AU463" s="18"/>
      <c r="AV463" s="19"/>
      <c r="AW463" s="19"/>
      <c r="AX463" s="19"/>
      <c r="AY463" s="19"/>
      <c r="AZ463" s="18"/>
      <c r="BA463" s="19"/>
      <c r="BB463" s="19"/>
      <c r="BC463" s="19"/>
      <c r="BD463" s="19"/>
      <c r="BE463" s="18"/>
      <c r="BF463" s="19"/>
      <c r="BG463" s="19"/>
      <c r="BH463" s="19"/>
      <c r="BI463" s="19"/>
      <c r="BJ463" s="18"/>
      <c r="BK463" s="19"/>
      <c r="BL463" s="19"/>
      <c r="BM463" s="19"/>
      <c r="BN463" s="19"/>
      <c r="BO463" s="18"/>
      <c r="BP463" s="19"/>
      <c r="BQ463" s="19"/>
      <c r="BR463" s="19"/>
      <c r="BS463" s="19"/>
      <c r="BT463" s="18"/>
      <c r="BU463" s="19"/>
      <c r="BV463" s="19"/>
      <c r="BW463" s="19"/>
      <c r="BX463" s="19"/>
      <c r="BY463" s="18"/>
      <c r="BZ463" s="19"/>
      <c r="CA463" s="19"/>
      <c r="CB463" s="19"/>
      <c r="CC463" s="19"/>
      <c r="CD463" s="18"/>
      <c r="CE463" s="19"/>
      <c r="CF463" s="19"/>
      <c r="CG463" s="19"/>
      <c r="CH463" s="19"/>
      <c r="CI463" s="18"/>
      <c r="CJ463" s="19"/>
      <c r="CK463" s="19"/>
      <c r="CL463" s="19"/>
      <c r="CM463" s="19"/>
      <c r="CN463" s="687"/>
      <c r="CO463" s="687"/>
      <c r="CP463" s="687"/>
      <c r="CQ463" s="687"/>
      <c r="CR463" s="687"/>
      <c r="CS463" s="687"/>
      <c r="CT463" s="14"/>
    </row>
    <row r="464" spans="1:98" s="4" customFormat="1" x14ac:dyDescent="0.3">
      <c r="A464" s="14"/>
      <c r="B464" s="292"/>
      <c r="C464" s="292"/>
      <c r="D464" s="14"/>
      <c r="E464" s="14"/>
      <c r="F464" s="703"/>
      <c r="G464" s="14"/>
      <c r="H464" s="14"/>
      <c r="I464" s="14"/>
      <c r="J464" s="14"/>
      <c r="K464" s="14"/>
      <c r="L464" s="14"/>
      <c r="M464" s="14"/>
      <c r="N464" s="703"/>
      <c r="O464" s="111"/>
      <c r="P464" s="703"/>
      <c r="Q464" s="14"/>
      <c r="R464" s="14"/>
      <c r="S464" s="14"/>
      <c r="T464" s="14"/>
      <c r="U464" s="14"/>
      <c r="V464" s="14"/>
      <c r="W464" s="14"/>
      <c r="X464" s="14"/>
      <c r="Y464" s="14"/>
      <c r="Z464" s="14"/>
      <c r="AA464" s="18"/>
      <c r="AB464" s="19"/>
      <c r="AC464" s="19"/>
      <c r="AD464" s="19"/>
      <c r="AE464" s="19"/>
      <c r="AF464" s="18"/>
      <c r="AG464" s="19"/>
      <c r="AH464" s="19"/>
      <c r="AI464" s="19"/>
      <c r="AJ464" s="19"/>
      <c r="AK464" s="18"/>
      <c r="AL464" s="19"/>
      <c r="AM464" s="19"/>
      <c r="AN464" s="19"/>
      <c r="AO464" s="19"/>
      <c r="AP464" s="18"/>
      <c r="AQ464" s="19"/>
      <c r="AR464" s="19"/>
      <c r="AS464" s="19"/>
      <c r="AT464" s="19"/>
      <c r="AU464" s="18"/>
      <c r="AV464" s="19"/>
      <c r="AW464" s="19"/>
      <c r="AX464" s="19"/>
      <c r="AY464" s="19"/>
      <c r="AZ464" s="18"/>
      <c r="BA464" s="19"/>
      <c r="BB464" s="19"/>
      <c r="BC464" s="19"/>
      <c r="BD464" s="19"/>
      <c r="BE464" s="18"/>
      <c r="BF464" s="19"/>
      <c r="BG464" s="19"/>
      <c r="BH464" s="19"/>
      <c r="BI464" s="19"/>
      <c r="BJ464" s="18"/>
      <c r="BK464" s="19"/>
      <c r="BL464" s="19"/>
      <c r="BM464" s="19"/>
      <c r="BN464" s="19"/>
      <c r="BO464" s="18"/>
      <c r="BP464" s="19"/>
      <c r="BQ464" s="19"/>
      <c r="BR464" s="19"/>
      <c r="BS464" s="19"/>
      <c r="BT464" s="18"/>
      <c r="BU464" s="19"/>
      <c r="BV464" s="19"/>
      <c r="BW464" s="19"/>
      <c r="BX464" s="19"/>
      <c r="BY464" s="18"/>
      <c r="BZ464" s="19"/>
      <c r="CA464" s="19"/>
      <c r="CB464" s="19"/>
      <c r="CC464" s="19"/>
      <c r="CD464" s="18"/>
      <c r="CE464" s="19"/>
      <c r="CF464" s="19"/>
      <c r="CG464" s="19"/>
      <c r="CH464" s="19"/>
      <c r="CI464" s="18"/>
      <c r="CJ464" s="19"/>
      <c r="CK464" s="19"/>
      <c r="CL464" s="19"/>
      <c r="CM464" s="19"/>
      <c r="CN464" s="687"/>
      <c r="CO464" s="687"/>
      <c r="CP464" s="687"/>
      <c r="CQ464" s="687"/>
      <c r="CR464" s="687"/>
      <c r="CS464" s="687"/>
      <c r="CT464" s="14"/>
    </row>
    <row r="465" spans="1:98" s="4" customFormat="1" x14ac:dyDescent="0.3">
      <c r="A465" s="14"/>
      <c r="B465" s="292"/>
      <c r="C465" s="292"/>
      <c r="D465" s="14"/>
      <c r="E465" s="14"/>
      <c r="F465" s="703"/>
      <c r="G465" s="14"/>
      <c r="H465" s="14"/>
      <c r="I465" s="14"/>
      <c r="J465" s="14"/>
      <c r="K465" s="14"/>
      <c r="L465" s="14"/>
      <c r="M465" s="14"/>
      <c r="N465" s="703"/>
      <c r="O465" s="111"/>
      <c r="P465" s="703"/>
      <c r="Q465" s="14"/>
      <c r="R465" s="14"/>
      <c r="S465" s="14"/>
      <c r="T465" s="14"/>
      <c r="U465" s="14"/>
      <c r="V465" s="14"/>
      <c r="W465" s="14"/>
      <c r="X465" s="14"/>
      <c r="Y465" s="14"/>
      <c r="Z465" s="14"/>
      <c r="AA465" s="18"/>
      <c r="AB465" s="19"/>
      <c r="AC465" s="19"/>
      <c r="AD465" s="19"/>
      <c r="AE465" s="19"/>
      <c r="AF465" s="18"/>
      <c r="AG465" s="19"/>
      <c r="AH465" s="19"/>
      <c r="AI465" s="19"/>
      <c r="AJ465" s="19"/>
      <c r="AK465" s="18"/>
      <c r="AL465" s="19"/>
      <c r="AM465" s="19"/>
      <c r="AN465" s="19"/>
      <c r="AO465" s="19"/>
      <c r="AP465" s="18"/>
      <c r="AQ465" s="19"/>
      <c r="AR465" s="19"/>
      <c r="AS465" s="19"/>
      <c r="AT465" s="19"/>
      <c r="AU465" s="18"/>
      <c r="AV465" s="19"/>
      <c r="AW465" s="19"/>
      <c r="AX465" s="19"/>
      <c r="AY465" s="19"/>
      <c r="AZ465" s="18"/>
      <c r="BA465" s="19"/>
      <c r="BB465" s="19"/>
      <c r="BC465" s="19"/>
      <c r="BD465" s="19"/>
      <c r="BE465" s="18"/>
      <c r="BF465" s="19"/>
      <c r="BG465" s="19"/>
      <c r="BH465" s="19"/>
      <c r="BI465" s="19"/>
      <c r="BJ465" s="18"/>
      <c r="BK465" s="19"/>
      <c r="BL465" s="19"/>
      <c r="BM465" s="19"/>
      <c r="BN465" s="19"/>
      <c r="BO465" s="18"/>
      <c r="BP465" s="19"/>
      <c r="BQ465" s="19"/>
      <c r="BR465" s="19"/>
      <c r="BS465" s="19"/>
      <c r="BT465" s="18"/>
      <c r="BU465" s="19"/>
      <c r="BV465" s="19"/>
      <c r="BW465" s="19"/>
      <c r="BX465" s="19"/>
      <c r="BY465" s="18"/>
      <c r="BZ465" s="19"/>
      <c r="CA465" s="19"/>
      <c r="CB465" s="19"/>
      <c r="CC465" s="19"/>
      <c r="CD465" s="18"/>
      <c r="CE465" s="19"/>
      <c r="CF465" s="19"/>
      <c r="CG465" s="19"/>
      <c r="CH465" s="19"/>
      <c r="CI465" s="18"/>
      <c r="CJ465" s="19"/>
      <c r="CK465" s="19"/>
      <c r="CL465" s="19"/>
      <c r="CM465" s="19"/>
      <c r="CN465" s="687"/>
      <c r="CO465" s="687"/>
      <c r="CP465" s="687"/>
      <c r="CQ465" s="687"/>
      <c r="CR465" s="687"/>
      <c r="CS465" s="687"/>
      <c r="CT465" s="14"/>
    </row>
    <row r="466" spans="1:98" s="4" customFormat="1" x14ac:dyDescent="0.3">
      <c r="A466" s="14"/>
      <c r="B466" s="292"/>
      <c r="C466" s="292"/>
      <c r="D466" s="14"/>
      <c r="E466" s="14"/>
      <c r="F466" s="703"/>
      <c r="G466" s="14"/>
      <c r="H466" s="14"/>
      <c r="I466" s="14"/>
      <c r="J466" s="14"/>
      <c r="K466" s="14"/>
      <c r="L466" s="14"/>
      <c r="M466" s="14"/>
      <c r="N466" s="703"/>
      <c r="O466" s="111"/>
      <c r="P466" s="703"/>
      <c r="Q466" s="14"/>
      <c r="R466" s="14"/>
      <c r="S466" s="14"/>
      <c r="T466" s="14"/>
      <c r="U466" s="14"/>
      <c r="V466" s="14"/>
      <c r="W466" s="14"/>
      <c r="X466" s="14"/>
      <c r="Y466" s="14"/>
      <c r="Z466" s="14"/>
      <c r="AA466" s="18"/>
      <c r="AB466" s="19"/>
      <c r="AC466" s="19"/>
      <c r="AD466" s="19"/>
      <c r="AE466" s="19"/>
      <c r="AF466" s="18"/>
      <c r="AG466" s="19"/>
      <c r="AH466" s="19"/>
      <c r="AI466" s="19"/>
      <c r="AJ466" s="19"/>
      <c r="AK466" s="18"/>
      <c r="AL466" s="19"/>
      <c r="AM466" s="19"/>
      <c r="AN466" s="19"/>
      <c r="AO466" s="19"/>
      <c r="AP466" s="18"/>
      <c r="AQ466" s="19"/>
      <c r="AR466" s="19"/>
      <c r="AS466" s="19"/>
      <c r="AT466" s="19"/>
      <c r="AU466" s="18"/>
      <c r="AV466" s="19"/>
      <c r="AW466" s="19"/>
      <c r="AX466" s="19"/>
      <c r="AY466" s="19"/>
      <c r="AZ466" s="18"/>
      <c r="BA466" s="19"/>
      <c r="BB466" s="19"/>
      <c r="BC466" s="19"/>
      <c r="BD466" s="19"/>
      <c r="BE466" s="18"/>
      <c r="BF466" s="19"/>
      <c r="BG466" s="19"/>
      <c r="BH466" s="19"/>
      <c r="BI466" s="19"/>
      <c r="BJ466" s="18"/>
      <c r="BK466" s="19"/>
      <c r="BL466" s="19"/>
      <c r="BM466" s="19"/>
      <c r="BN466" s="19"/>
      <c r="BO466" s="18"/>
      <c r="BP466" s="19"/>
      <c r="BQ466" s="19"/>
      <c r="BR466" s="19"/>
      <c r="BS466" s="19"/>
      <c r="BT466" s="18"/>
      <c r="BU466" s="19"/>
      <c r="BV466" s="19"/>
      <c r="BW466" s="19"/>
      <c r="BX466" s="19"/>
      <c r="BY466" s="18"/>
      <c r="BZ466" s="19"/>
      <c r="CA466" s="19"/>
      <c r="CB466" s="19"/>
      <c r="CC466" s="19"/>
      <c r="CD466" s="18"/>
      <c r="CE466" s="19"/>
      <c r="CF466" s="19"/>
      <c r="CG466" s="19"/>
      <c r="CH466" s="19"/>
      <c r="CI466" s="18"/>
      <c r="CJ466" s="19"/>
      <c r="CK466" s="19"/>
      <c r="CL466" s="19"/>
      <c r="CM466" s="19"/>
      <c r="CN466" s="687"/>
      <c r="CO466" s="687"/>
      <c r="CP466" s="687"/>
      <c r="CQ466" s="687"/>
      <c r="CR466" s="687"/>
      <c r="CS466" s="687"/>
      <c r="CT466" s="14"/>
    </row>
    <row r="467" spans="1:98" s="4" customFormat="1" x14ac:dyDescent="0.3">
      <c r="A467" s="14"/>
      <c r="B467" s="292"/>
      <c r="C467" s="292"/>
      <c r="D467" s="14"/>
      <c r="E467" s="14"/>
      <c r="F467" s="703"/>
      <c r="G467" s="14"/>
      <c r="H467" s="14"/>
      <c r="I467" s="14"/>
      <c r="J467" s="14"/>
      <c r="K467" s="14"/>
      <c r="L467" s="14"/>
      <c r="M467" s="14"/>
      <c r="N467" s="703"/>
      <c r="O467" s="111"/>
      <c r="P467" s="703"/>
      <c r="Q467" s="14"/>
      <c r="R467" s="14"/>
      <c r="S467" s="14"/>
      <c r="T467" s="14"/>
      <c r="U467" s="14"/>
      <c r="V467" s="14"/>
      <c r="W467" s="14"/>
      <c r="X467" s="14"/>
      <c r="Y467" s="14"/>
      <c r="Z467" s="14"/>
      <c r="AA467" s="18"/>
      <c r="AB467" s="19"/>
      <c r="AC467" s="19"/>
      <c r="AD467" s="19"/>
      <c r="AE467" s="19"/>
      <c r="AF467" s="18"/>
      <c r="AG467" s="19"/>
      <c r="AH467" s="19"/>
      <c r="AI467" s="19"/>
      <c r="AJ467" s="19"/>
      <c r="AK467" s="18"/>
      <c r="AL467" s="19"/>
      <c r="AM467" s="19"/>
      <c r="AN467" s="19"/>
      <c r="AO467" s="19"/>
      <c r="AP467" s="18"/>
      <c r="AQ467" s="19"/>
      <c r="AR467" s="19"/>
      <c r="AS467" s="19"/>
      <c r="AT467" s="19"/>
      <c r="AU467" s="18"/>
      <c r="AV467" s="19"/>
      <c r="AW467" s="19"/>
      <c r="AX467" s="19"/>
      <c r="AY467" s="19"/>
      <c r="AZ467" s="18"/>
      <c r="BA467" s="19"/>
      <c r="BB467" s="19"/>
      <c r="BC467" s="19"/>
      <c r="BD467" s="19"/>
      <c r="BE467" s="18"/>
      <c r="BF467" s="19"/>
      <c r="BG467" s="19"/>
      <c r="BH467" s="19"/>
      <c r="BI467" s="19"/>
      <c r="BJ467" s="18"/>
      <c r="BK467" s="19"/>
      <c r="BL467" s="19"/>
      <c r="BM467" s="19"/>
      <c r="BN467" s="19"/>
      <c r="BO467" s="18"/>
      <c r="BP467" s="19"/>
      <c r="BQ467" s="19"/>
      <c r="BR467" s="19"/>
      <c r="BS467" s="19"/>
      <c r="BT467" s="18"/>
      <c r="BU467" s="19"/>
      <c r="BV467" s="19"/>
      <c r="BW467" s="19"/>
      <c r="BX467" s="19"/>
      <c r="BY467" s="18"/>
      <c r="BZ467" s="19"/>
      <c r="CA467" s="19"/>
      <c r="CB467" s="19"/>
      <c r="CC467" s="19"/>
      <c r="CD467" s="18"/>
      <c r="CE467" s="19"/>
      <c r="CF467" s="19"/>
      <c r="CG467" s="19"/>
      <c r="CH467" s="19"/>
      <c r="CI467" s="18"/>
      <c r="CJ467" s="19"/>
      <c r="CK467" s="19"/>
      <c r="CL467" s="19"/>
      <c r="CM467" s="19"/>
      <c r="CN467" s="687"/>
      <c r="CO467" s="687"/>
      <c r="CP467" s="687"/>
      <c r="CQ467" s="687"/>
      <c r="CR467" s="687"/>
      <c r="CS467" s="687"/>
      <c r="CT467" s="14"/>
    </row>
    <row r="468" spans="1:98" s="4" customFormat="1" x14ac:dyDescent="0.3">
      <c r="A468" s="14"/>
      <c r="B468" s="292"/>
      <c r="C468" s="292"/>
      <c r="D468" s="14"/>
      <c r="E468" s="14"/>
      <c r="F468" s="703"/>
      <c r="G468" s="14"/>
      <c r="H468" s="14"/>
      <c r="I468" s="14"/>
      <c r="J468" s="14"/>
      <c r="K468" s="14"/>
      <c r="L468" s="14"/>
      <c r="M468" s="14"/>
      <c r="N468" s="703"/>
      <c r="O468" s="111"/>
      <c r="P468" s="703"/>
      <c r="Q468" s="14"/>
      <c r="R468" s="14"/>
      <c r="S468" s="14"/>
      <c r="T468" s="14"/>
      <c r="U468" s="14"/>
      <c r="V468" s="14"/>
      <c r="W468" s="14"/>
      <c r="X468" s="14"/>
      <c r="Y468" s="14"/>
      <c r="Z468" s="14"/>
      <c r="AA468" s="18"/>
      <c r="AB468" s="19"/>
      <c r="AC468" s="19"/>
      <c r="AD468" s="19"/>
      <c r="AE468" s="19"/>
      <c r="AF468" s="18"/>
      <c r="AG468" s="19"/>
      <c r="AH468" s="19"/>
      <c r="AI468" s="19"/>
      <c r="AJ468" s="19"/>
      <c r="AK468" s="18"/>
      <c r="AL468" s="19"/>
      <c r="AM468" s="19"/>
      <c r="AN468" s="19"/>
      <c r="AO468" s="19"/>
      <c r="AP468" s="18"/>
      <c r="AQ468" s="19"/>
      <c r="AR468" s="19"/>
      <c r="AS468" s="19"/>
      <c r="AT468" s="19"/>
      <c r="AU468" s="18"/>
      <c r="AV468" s="19"/>
      <c r="AW468" s="19"/>
      <c r="AX468" s="19"/>
      <c r="AY468" s="19"/>
      <c r="AZ468" s="18"/>
      <c r="BA468" s="19"/>
      <c r="BB468" s="19"/>
      <c r="BC468" s="19"/>
      <c r="BD468" s="19"/>
      <c r="BE468" s="18"/>
      <c r="BF468" s="19"/>
      <c r="BG468" s="19"/>
      <c r="BH468" s="19"/>
      <c r="BI468" s="19"/>
      <c r="BJ468" s="18"/>
      <c r="BK468" s="19"/>
      <c r="BL468" s="19"/>
      <c r="BM468" s="19"/>
      <c r="BN468" s="19"/>
      <c r="BO468" s="18"/>
      <c r="BP468" s="19"/>
      <c r="BQ468" s="19"/>
      <c r="BR468" s="19"/>
      <c r="BS468" s="19"/>
      <c r="BT468" s="18"/>
      <c r="BU468" s="19"/>
      <c r="BV468" s="19"/>
      <c r="BW468" s="19"/>
      <c r="BX468" s="19"/>
      <c r="BY468" s="18"/>
      <c r="BZ468" s="19"/>
      <c r="CA468" s="19"/>
      <c r="CB468" s="19"/>
      <c r="CC468" s="19"/>
      <c r="CD468" s="18"/>
      <c r="CE468" s="19"/>
      <c r="CF468" s="19"/>
      <c r="CG468" s="19"/>
      <c r="CH468" s="19"/>
      <c r="CI468" s="18"/>
      <c r="CJ468" s="19"/>
      <c r="CK468" s="19"/>
      <c r="CL468" s="19"/>
      <c r="CM468" s="19"/>
      <c r="CN468" s="687"/>
      <c r="CO468" s="687"/>
      <c r="CP468" s="687"/>
      <c r="CQ468" s="687"/>
      <c r="CR468" s="687"/>
      <c r="CS468" s="687"/>
      <c r="CT468" s="14"/>
    </row>
    <row r="469" spans="1:98" s="4" customFormat="1" x14ac:dyDescent="0.3">
      <c r="A469" s="14"/>
      <c r="B469" s="292"/>
      <c r="C469" s="292"/>
      <c r="D469" s="14"/>
      <c r="E469" s="14"/>
      <c r="F469" s="703"/>
      <c r="G469" s="14"/>
      <c r="H469" s="14"/>
      <c r="I469" s="14"/>
      <c r="J469" s="14"/>
      <c r="K469" s="14"/>
      <c r="L469" s="14"/>
      <c r="M469" s="14"/>
      <c r="N469" s="703"/>
      <c r="O469" s="111"/>
      <c r="P469" s="703"/>
      <c r="Q469" s="14"/>
      <c r="R469" s="14"/>
      <c r="S469" s="14"/>
      <c r="T469" s="14"/>
      <c r="U469" s="14"/>
      <c r="V469" s="14"/>
      <c r="W469" s="14"/>
      <c r="X469" s="14"/>
      <c r="Y469" s="14"/>
      <c r="Z469" s="14"/>
      <c r="AA469" s="18"/>
      <c r="AB469" s="19"/>
      <c r="AC469" s="19"/>
      <c r="AD469" s="19"/>
      <c r="AE469" s="19"/>
      <c r="AF469" s="18"/>
      <c r="AG469" s="19"/>
      <c r="AH469" s="19"/>
      <c r="AI469" s="19"/>
      <c r="AJ469" s="19"/>
      <c r="AK469" s="18"/>
      <c r="AL469" s="19"/>
      <c r="AM469" s="19"/>
      <c r="AN469" s="19"/>
      <c r="AO469" s="19"/>
      <c r="AP469" s="18"/>
      <c r="AQ469" s="19"/>
      <c r="AR469" s="19"/>
      <c r="AS469" s="19"/>
      <c r="AT469" s="19"/>
      <c r="AU469" s="18"/>
      <c r="AV469" s="19"/>
      <c r="AW469" s="19"/>
      <c r="AX469" s="19"/>
      <c r="AY469" s="19"/>
      <c r="AZ469" s="18"/>
      <c r="BA469" s="19"/>
      <c r="BB469" s="19"/>
      <c r="BC469" s="19"/>
      <c r="BD469" s="19"/>
      <c r="BE469" s="18"/>
      <c r="BF469" s="19"/>
      <c r="BG469" s="19"/>
      <c r="BH469" s="19"/>
      <c r="BI469" s="19"/>
      <c r="BJ469" s="18"/>
      <c r="BK469" s="19"/>
      <c r="BL469" s="19"/>
      <c r="BM469" s="19"/>
      <c r="BN469" s="19"/>
      <c r="BO469" s="18"/>
      <c r="BP469" s="19"/>
      <c r="BQ469" s="19"/>
      <c r="BR469" s="19"/>
      <c r="BS469" s="19"/>
      <c r="BT469" s="18"/>
      <c r="BU469" s="19"/>
      <c r="BV469" s="19"/>
      <c r="BW469" s="19"/>
      <c r="BX469" s="19"/>
      <c r="BY469" s="18"/>
      <c r="BZ469" s="19"/>
      <c r="CA469" s="19"/>
      <c r="CB469" s="19"/>
      <c r="CC469" s="19"/>
      <c r="CD469" s="18"/>
      <c r="CE469" s="19"/>
      <c r="CF469" s="19"/>
      <c r="CG469" s="19"/>
      <c r="CH469" s="19"/>
      <c r="CI469" s="18"/>
      <c r="CJ469" s="19"/>
      <c r="CK469" s="19"/>
      <c r="CL469" s="19"/>
      <c r="CM469" s="19"/>
      <c r="CN469" s="687"/>
      <c r="CO469" s="687"/>
      <c r="CP469" s="687"/>
      <c r="CQ469" s="687"/>
      <c r="CR469" s="687"/>
      <c r="CS469" s="687"/>
      <c r="CT469" s="14"/>
    </row>
    <row r="470" spans="1:98" s="4" customFormat="1" x14ac:dyDescent="0.3">
      <c r="A470" s="14"/>
      <c r="B470" s="292"/>
      <c r="C470" s="292"/>
      <c r="D470" s="14"/>
      <c r="E470" s="14"/>
      <c r="F470" s="703"/>
      <c r="G470" s="14"/>
      <c r="H470" s="14"/>
      <c r="I470" s="14"/>
      <c r="J470" s="14"/>
      <c r="K470" s="14"/>
      <c r="L470" s="14"/>
      <c r="M470" s="14"/>
      <c r="N470" s="703"/>
      <c r="O470" s="111"/>
      <c r="P470" s="703"/>
      <c r="Q470" s="14"/>
      <c r="R470" s="14"/>
      <c r="S470" s="14"/>
      <c r="T470" s="14"/>
      <c r="U470" s="14"/>
      <c r="V470" s="14"/>
      <c r="W470" s="14"/>
      <c r="X470" s="14"/>
      <c r="Y470" s="14"/>
      <c r="Z470" s="14"/>
      <c r="AA470" s="18"/>
      <c r="AB470" s="19"/>
      <c r="AC470" s="19"/>
      <c r="AD470" s="19"/>
      <c r="AE470" s="19"/>
      <c r="AF470" s="18"/>
      <c r="AG470" s="19"/>
      <c r="AH470" s="19"/>
      <c r="AI470" s="19"/>
      <c r="AJ470" s="19"/>
      <c r="AK470" s="18"/>
      <c r="AL470" s="19"/>
      <c r="AM470" s="19"/>
      <c r="AN470" s="19"/>
      <c r="AO470" s="19"/>
      <c r="AP470" s="18"/>
      <c r="AQ470" s="19"/>
      <c r="AR470" s="19"/>
      <c r="AS470" s="19"/>
      <c r="AT470" s="19"/>
      <c r="AU470" s="18"/>
      <c r="AV470" s="19"/>
      <c r="AW470" s="19"/>
      <c r="AX470" s="19"/>
      <c r="AY470" s="19"/>
      <c r="AZ470" s="18"/>
      <c r="BA470" s="19"/>
      <c r="BB470" s="19"/>
      <c r="BC470" s="19"/>
      <c r="BD470" s="19"/>
      <c r="BE470" s="18"/>
      <c r="BF470" s="19"/>
      <c r="BG470" s="19"/>
      <c r="BH470" s="19"/>
      <c r="BI470" s="19"/>
      <c r="BJ470" s="18"/>
      <c r="BK470" s="19"/>
      <c r="BL470" s="19"/>
      <c r="BM470" s="19"/>
      <c r="BN470" s="19"/>
      <c r="BO470" s="18"/>
      <c r="BP470" s="19"/>
      <c r="BQ470" s="19"/>
      <c r="BR470" s="19"/>
      <c r="BS470" s="19"/>
      <c r="BT470" s="18"/>
      <c r="BU470" s="19"/>
      <c r="BV470" s="19"/>
      <c r="BW470" s="19"/>
      <c r="BX470" s="19"/>
      <c r="BY470" s="18"/>
      <c r="BZ470" s="19"/>
      <c r="CA470" s="19"/>
      <c r="CB470" s="19"/>
      <c r="CC470" s="19"/>
      <c r="CD470" s="18"/>
      <c r="CE470" s="19"/>
      <c r="CF470" s="19"/>
      <c r="CG470" s="19"/>
      <c r="CH470" s="19"/>
      <c r="CI470" s="18"/>
      <c r="CJ470" s="19"/>
      <c r="CK470" s="19"/>
      <c r="CL470" s="19"/>
      <c r="CM470" s="19"/>
      <c r="CN470" s="687"/>
      <c r="CO470" s="687"/>
      <c r="CP470" s="687"/>
      <c r="CQ470" s="687"/>
      <c r="CR470" s="687"/>
      <c r="CS470" s="687"/>
      <c r="CT470" s="14"/>
    </row>
    <row r="471" spans="1:98" s="4" customFormat="1" x14ac:dyDescent="0.3">
      <c r="A471" s="14"/>
      <c r="B471" s="292"/>
      <c r="C471" s="292"/>
      <c r="D471" s="14"/>
      <c r="E471" s="14"/>
      <c r="F471" s="703"/>
      <c r="G471" s="14"/>
      <c r="H471" s="14"/>
      <c r="I471" s="14"/>
      <c r="J471" s="14"/>
      <c r="K471" s="14"/>
      <c r="L471" s="14"/>
      <c r="M471" s="14"/>
      <c r="N471" s="703"/>
      <c r="O471" s="111"/>
      <c r="P471" s="703"/>
      <c r="Q471" s="14"/>
      <c r="R471" s="14"/>
      <c r="S471" s="14"/>
      <c r="T471" s="14"/>
      <c r="U471" s="14"/>
      <c r="V471" s="14"/>
      <c r="W471" s="14"/>
      <c r="X471" s="14"/>
      <c r="Y471" s="14"/>
      <c r="Z471" s="14"/>
      <c r="AA471" s="18"/>
      <c r="AB471" s="19"/>
      <c r="AC471" s="19"/>
      <c r="AD471" s="19"/>
      <c r="AE471" s="19"/>
      <c r="AF471" s="18"/>
      <c r="AG471" s="19"/>
      <c r="AH471" s="19"/>
      <c r="AI471" s="19"/>
      <c r="AJ471" s="19"/>
      <c r="AK471" s="18"/>
      <c r="AL471" s="19"/>
      <c r="AM471" s="19"/>
      <c r="AN471" s="19"/>
      <c r="AO471" s="19"/>
      <c r="AP471" s="18"/>
      <c r="AQ471" s="19"/>
      <c r="AR471" s="19"/>
      <c r="AS471" s="19"/>
      <c r="AT471" s="19"/>
      <c r="AU471" s="18"/>
      <c r="AV471" s="19"/>
      <c r="AW471" s="19"/>
      <c r="AX471" s="19"/>
      <c r="AY471" s="19"/>
      <c r="AZ471" s="18"/>
      <c r="BA471" s="19"/>
      <c r="BB471" s="19"/>
      <c r="BC471" s="19"/>
      <c r="BD471" s="19"/>
      <c r="BE471" s="18"/>
      <c r="BF471" s="19"/>
      <c r="BG471" s="19"/>
      <c r="BH471" s="19"/>
      <c r="BI471" s="19"/>
      <c r="BJ471" s="18"/>
      <c r="BK471" s="19"/>
      <c r="BL471" s="19"/>
      <c r="BM471" s="19"/>
      <c r="BN471" s="19"/>
      <c r="BO471" s="18"/>
      <c r="BP471" s="19"/>
      <c r="BQ471" s="19"/>
      <c r="BR471" s="19"/>
      <c r="BS471" s="19"/>
      <c r="BT471" s="18"/>
      <c r="BU471" s="19"/>
      <c r="BV471" s="19"/>
      <c r="BW471" s="19"/>
      <c r="BX471" s="19"/>
      <c r="BY471" s="18"/>
      <c r="BZ471" s="19"/>
      <c r="CA471" s="19"/>
      <c r="CB471" s="19"/>
      <c r="CC471" s="19"/>
      <c r="CD471" s="18"/>
      <c r="CE471" s="19"/>
      <c r="CF471" s="19"/>
      <c r="CG471" s="19"/>
      <c r="CH471" s="19"/>
      <c r="CI471" s="18"/>
      <c r="CJ471" s="19"/>
      <c r="CK471" s="19"/>
      <c r="CL471" s="19"/>
      <c r="CM471" s="19"/>
      <c r="CN471" s="687"/>
      <c r="CO471" s="687"/>
      <c r="CP471" s="687"/>
      <c r="CQ471" s="687"/>
      <c r="CR471" s="687"/>
      <c r="CS471" s="687"/>
      <c r="CT471" s="14"/>
    </row>
    <row r="472" spans="1:98" s="4" customFormat="1" x14ac:dyDescent="0.3">
      <c r="A472" s="14"/>
      <c r="B472" s="292"/>
      <c r="C472" s="292"/>
      <c r="D472" s="14"/>
      <c r="E472" s="14"/>
      <c r="F472" s="703"/>
      <c r="G472" s="14"/>
      <c r="H472" s="14"/>
      <c r="I472" s="14"/>
      <c r="J472" s="14"/>
      <c r="K472" s="14"/>
      <c r="L472" s="14"/>
      <c r="M472" s="14"/>
      <c r="N472" s="703"/>
      <c r="O472" s="111"/>
      <c r="P472" s="703"/>
      <c r="Q472" s="14"/>
      <c r="R472" s="14"/>
      <c r="S472" s="14"/>
      <c r="T472" s="14"/>
      <c r="U472" s="14"/>
      <c r="V472" s="14"/>
      <c r="W472" s="14"/>
      <c r="X472" s="14"/>
      <c r="Y472" s="14"/>
      <c r="Z472" s="14"/>
      <c r="AA472" s="18"/>
      <c r="AB472" s="19"/>
      <c r="AC472" s="19"/>
      <c r="AD472" s="19"/>
      <c r="AE472" s="19"/>
      <c r="AF472" s="18"/>
      <c r="AG472" s="19"/>
      <c r="AH472" s="19"/>
      <c r="AI472" s="19"/>
      <c r="AJ472" s="19"/>
      <c r="AK472" s="18"/>
      <c r="AL472" s="19"/>
      <c r="AM472" s="19"/>
      <c r="AN472" s="19"/>
      <c r="AO472" s="19"/>
      <c r="AP472" s="18"/>
      <c r="AQ472" s="19"/>
      <c r="AR472" s="19"/>
      <c r="AS472" s="19"/>
      <c r="AT472" s="19"/>
      <c r="AU472" s="18"/>
      <c r="AV472" s="19"/>
      <c r="AW472" s="19"/>
      <c r="AX472" s="19"/>
      <c r="AY472" s="19"/>
      <c r="AZ472" s="18"/>
      <c r="BA472" s="19"/>
      <c r="BB472" s="19"/>
      <c r="BC472" s="19"/>
      <c r="BD472" s="19"/>
      <c r="BE472" s="18"/>
      <c r="BF472" s="19"/>
      <c r="BG472" s="19"/>
      <c r="BH472" s="19"/>
      <c r="BI472" s="19"/>
      <c r="BJ472" s="18"/>
      <c r="BK472" s="19"/>
      <c r="BL472" s="19"/>
      <c r="BM472" s="19"/>
      <c r="BN472" s="19"/>
      <c r="BO472" s="18"/>
      <c r="BP472" s="19"/>
      <c r="BQ472" s="19"/>
      <c r="BR472" s="19"/>
      <c r="BS472" s="19"/>
      <c r="BT472" s="18"/>
      <c r="BU472" s="19"/>
      <c r="BV472" s="19"/>
      <c r="BW472" s="19"/>
      <c r="BX472" s="19"/>
      <c r="BY472" s="18"/>
      <c r="BZ472" s="19"/>
      <c r="CA472" s="19"/>
      <c r="CB472" s="19"/>
      <c r="CC472" s="19"/>
      <c r="CD472" s="18"/>
      <c r="CE472" s="19"/>
      <c r="CF472" s="19"/>
      <c r="CG472" s="19"/>
      <c r="CH472" s="19"/>
      <c r="CI472" s="18"/>
      <c r="CJ472" s="19"/>
      <c r="CK472" s="19"/>
      <c r="CL472" s="19"/>
      <c r="CM472" s="19"/>
      <c r="CN472" s="687"/>
      <c r="CO472" s="687"/>
      <c r="CP472" s="687"/>
      <c r="CQ472" s="687"/>
      <c r="CR472" s="687"/>
      <c r="CS472" s="687"/>
      <c r="CT472" s="14"/>
    </row>
    <row r="473" spans="1:98" s="4" customFormat="1" x14ac:dyDescent="0.3">
      <c r="A473" s="14"/>
      <c r="B473" s="292"/>
      <c r="C473" s="292"/>
      <c r="D473" s="14"/>
      <c r="E473" s="14"/>
      <c r="F473" s="703"/>
      <c r="G473" s="14"/>
      <c r="H473" s="14"/>
      <c r="I473" s="14"/>
      <c r="J473" s="14"/>
      <c r="K473" s="14"/>
      <c r="L473" s="14"/>
      <c r="M473" s="14"/>
      <c r="N473" s="703"/>
      <c r="O473" s="111"/>
      <c r="P473" s="703"/>
      <c r="Q473" s="14"/>
      <c r="R473" s="14"/>
      <c r="S473" s="14"/>
      <c r="T473" s="14"/>
      <c r="U473" s="14"/>
      <c r="V473" s="14"/>
      <c r="W473" s="14"/>
      <c r="X473" s="14"/>
      <c r="Y473" s="14"/>
      <c r="Z473" s="14"/>
      <c r="AA473" s="18"/>
      <c r="AB473" s="19"/>
      <c r="AC473" s="19"/>
      <c r="AD473" s="19"/>
      <c r="AE473" s="19"/>
      <c r="AF473" s="18"/>
      <c r="AG473" s="19"/>
      <c r="AH473" s="19"/>
      <c r="AI473" s="19"/>
      <c r="AJ473" s="19"/>
      <c r="AK473" s="18"/>
      <c r="AL473" s="19"/>
      <c r="AM473" s="19"/>
      <c r="AN473" s="19"/>
      <c r="AO473" s="19"/>
      <c r="AP473" s="18"/>
      <c r="AQ473" s="19"/>
      <c r="AR473" s="19"/>
      <c r="AS473" s="19"/>
      <c r="AT473" s="19"/>
      <c r="AU473" s="18"/>
      <c r="AV473" s="19"/>
      <c r="AW473" s="19"/>
      <c r="AX473" s="19"/>
      <c r="AY473" s="19"/>
      <c r="AZ473" s="18"/>
      <c r="BA473" s="19"/>
      <c r="BB473" s="19"/>
      <c r="BC473" s="19"/>
      <c r="BD473" s="19"/>
      <c r="BE473" s="18"/>
      <c r="BF473" s="19"/>
      <c r="BG473" s="19"/>
      <c r="BH473" s="19"/>
      <c r="BI473" s="19"/>
      <c r="BJ473" s="18"/>
      <c r="BK473" s="19"/>
      <c r="BL473" s="19"/>
      <c r="BM473" s="19"/>
      <c r="BN473" s="19"/>
      <c r="BO473" s="18"/>
      <c r="BP473" s="19"/>
      <c r="BQ473" s="19"/>
      <c r="BR473" s="19"/>
      <c r="BS473" s="19"/>
      <c r="BT473" s="18"/>
      <c r="BU473" s="19"/>
      <c r="BV473" s="19"/>
      <c r="BW473" s="19"/>
      <c r="BX473" s="19"/>
      <c r="BY473" s="18"/>
      <c r="BZ473" s="19"/>
      <c r="CA473" s="19"/>
      <c r="CB473" s="19"/>
      <c r="CC473" s="19"/>
      <c r="CD473" s="18"/>
      <c r="CE473" s="19"/>
      <c r="CF473" s="19"/>
      <c r="CG473" s="19"/>
      <c r="CH473" s="19"/>
      <c r="CI473" s="18"/>
      <c r="CJ473" s="19"/>
      <c r="CK473" s="19"/>
      <c r="CL473" s="19"/>
      <c r="CM473" s="19"/>
      <c r="CN473" s="687"/>
      <c r="CO473" s="687"/>
      <c r="CP473" s="687"/>
      <c r="CQ473" s="687"/>
      <c r="CR473" s="687"/>
      <c r="CS473" s="687"/>
      <c r="CT473" s="14"/>
    </row>
    <row r="474" spans="1:98" s="4" customFormat="1" x14ac:dyDescent="0.3">
      <c r="A474" s="14"/>
      <c r="B474" s="292"/>
      <c r="C474" s="292"/>
      <c r="D474" s="14"/>
      <c r="E474" s="14"/>
      <c r="F474" s="703"/>
      <c r="G474" s="14"/>
      <c r="H474" s="14"/>
      <c r="I474" s="14"/>
      <c r="J474" s="14"/>
      <c r="K474" s="14"/>
      <c r="L474" s="14"/>
      <c r="M474" s="14"/>
      <c r="N474" s="703"/>
      <c r="O474" s="111"/>
      <c r="P474" s="703"/>
      <c r="Q474" s="14"/>
      <c r="R474" s="14"/>
      <c r="S474" s="14"/>
      <c r="T474" s="14"/>
      <c r="U474" s="14"/>
      <c r="V474" s="14"/>
      <c r="W474" s="14"/>
      <c r="X474" s="14"/>
      <c r="Y474" s="14"/>
      <c r="Z474" s="14"/>
      <c r="AA474" s="18"/>
      <c r="AB474" s="19"/>
      <c r="AC474" s="19"/>
      <c r="AD474" s="19"/>
      <c r="AE474" s="19"/>
      <c r="AF474" s="18"/>
      <c r="AG474" s="19"/>
      <c r="AH474" s="19"/>
      <c r="AI474" s="19"/>
      <c r="AJ474" s="19"/>
      <c r="AK474" s="18"/>
      <c r="AL474" s="19"/>
      <c r="AM474" s="19"/>
      <c r="AN474" s="19"/>
      <c r="AO474" s="19"/>
      <c r="AP474" s="18"/>
      <c r="AQ474" s="19"/>
      <c r="AR474" s="19"/>
      <c r="AS474" s="19"/>
      <c r="AT474" s="19"/>
      <c r="AU474" s="18"/>
      <c r="AV474" s="19"/>
      <c r="AW474" s="19"/>
      <c r="AX474" s="19"/>
      <c r="AY474" s="19"/>
      <c r="AZ474" s="18"/>
      <c r="BA474" s="19"/>
      <c r="BB474" s="19"/>
      <c r="BC474" s="19"/>
      <c r="BD474" s="19"/>
      <c r="BE474" s="18"/>
      <c r="BF474" s="19"/>
      <c r="BG474" s="19"/>
      <c r="BH474" s="19"/>
      <c r="BI474" s="19"/>
      <c r="BJ474" s="18"/>
      <c r="BK474" s="19"/>
      <c r="BL474" s="19"/>
      <c r="BM474" s="19"/>
      <c r="BN474" s="19"/>
      <c r="BO474" s="18"/>
      <c r="BP474" s="19"/>
      <c r="BQ474" s="19"/>
      <c r="BR474" s="19"/>
      <c r="BS474" s="19"/>
      <c r="BT474" s="18"/>
      <c r="BU474" s="19"/>
      <c r="BV474" s="19"/>
      <c r="BW474" s="19"/>
      <c r="BX474" s="19"/>
      <c r="BY474" s="18"/>
      <c r="BZ474" s="19"/>
      <c r="CA474" s="19"/>
      <c r="CB474" s="19"/>
      <c r="CC474" s="19"/>
      <c r="CD474" s="18"/>
      <c r="CE474" s="19"/>
      <c r="CF474" s="19"/>
      <c r="CG474" s="19"/>
      <c r="CH474" s="19"/>
      <c r="CI474" s="18"/>
      <c r="CJ474" s="19"/>
      <c r="CK474" s="19"/>
      <c r="CL474" s="19"/>
      <c r="CM474" s="19"/>
      <c r="CN474" s="687"/>
      <c r="CO474" s="687"/>
      <c r="CP474" s="687"/>
      <c r="CQ474" s="687"/>
      <c r="CR474" s="687"/>
      <c r="CS474" s="687"/>
      <c r="CT474" s="14"/>
    </row>
    <row r="475" spans="1:98" s="4" customFormat="1" x14ac:dyDescent="0.3">
      <c r="A475" s="14"/>
      <c r="B475" s="292"/>
      <c r="C475" s="292"/>
      <c r="D475" s="14"/>
      <c r="E475" s="14"/>
      <c r="F475" s="703"/>
      <c r="G475" s="14"/>
      <c r="H475" s="14"/>
      <c r="I475" s="14"/>
      <c r="J475" s="14"/>
      <c r="K475" s="14"/>
      <c r="L475" s="14"/>
      <c r="M475" s="14"/>
      <c r="N475" s="703"/>
      <c r="O475" s="111"/>
      <c r="P475" s="703"/>
      <c r="Q475" s="14"/>
      <c r="R475" s="14"/>
      <c r="S475" s="14"/>
      <c r="T475" s="14"/>
      <c r="U475" s="14"/>
      <c r="V475" s="14"/>
      <c r="W475" s="14"/>
      <c r="X475" s="14"/>
      <c r="Y475" s="14"/>
      <c r="Z475" s="14"/>
      <c r="AA475" s="18"/>
      <c r="AB475" s="19"/>
      <c r="AC475" s="19"/>
      <c r="AD475" s="19"/>
      <c r="AE475" s="19"/>
      <c r="AF475" s="18"/>
      <c r="AG475" s="19"/>
      <c r="AH475" s="19"/>
      <c r="AI475" s="19"/>
      <c r="AJ475" s="19"/>
      <c r="AK475" s="18"/>
      <c r="AL475" s="19"/>
      <c r="AM475" s="19"/>
      <c r="AN475" s="19"/>
      <c r="AO475" s="19"/>
      <c r="AP475" s="18"/>
      <c r="AQ475" s="19"/>
      <c r="AR475" s="19"/>
      <c r="AS475" s="19"/>
      <c r="AT475" s="19"/>
      <c r="AU475" s="18"/>
      <c r="AV475" s="19"/>
      <c r="AW475" s="19"/>
      <c r="AX475" s="19"/>
      <c r="AY475" s="19"/>
      <c r="AZ475" s="18"/>
      <c r="BA475" s="19"/>
      <c r="BB475" s="19"/>
      <c r="BC475" s="19"/>
      <c r="BD475" s="19"/>
      <c r="BE475" s="18"/>
      <c r="BF475" s="19"/>
      <c r="BG475" s="19"/>
      <c r="BH475" s="19"/>
      <c r="BI475" s="19"/>
      <c r="BJ475" s="18"/>
      <c r="BK475" s="19"/>
      <c r="BL475" s="19"/>
      <c r="BM475" s="19"/>
      <c r="BN475" s="19"/>
      <c r="BO475" s="18"/>
      <c r="BP475" s="19"/>
      <c r="BQ475" s="19"/>
      <c r="BR475" s="19"/>
      <c r="BS475" s="19"/>
      <c r="BT475" s="18"/>
      <c r="BU475" s="19"/>
      <c r="BV475" s="19"/>
      <c r="BW475" s="19"/>
      <c r="BX475" s="19"/>
      <c r="BY475" s="18"/>
      <c r="BZ475" s="19"/>
      <c r="CA475" s="19"/>
      <c r="CB475" s="19"/>
      <c r="CC475" s="19"/>
      <c r="CD475" s="18"/>
      <c r="CE475" s="19"/>
      <c r="CF475" s="19"/>
      <c r="CG475" s="19"/>
      <c r="CH475" s="19"/>
      <c r="CI475" s="18"/>
      <c r="CJ475" s="19"/>
      <c r="CK475" s="19"/>
      <c r="CL475" s="19"/>
      <c r="CM475" s="19"/>
      <c r="CN475" s="687"/>
      <c r="CO475" s="687"/>
      <c r="CP475" s="687"/>
      <c r="CQ475" s="687"/>
      <c r="CR475" s="687"/>
      <c r="CS475" s="687"/>
      <c r="CT475" s="14"/>
    </row>
    <row r="476" spans="1:98" s="4" customFormat="1" x14ac:dyDescent="0.3">
      <c r="A476" s="14"/>
      <c r="B476" s="292"/>
      <c r="C476" s="292"/>
      <c r="D476" s="14"/>
      <c r="E476" s="14"/>
      <c r="F476" s="703"/>
      <c r="G476" s="14"/>
      <c r="H476" s="14"/>
      <c r="I476" s="14"/>
      <c r="J476" s="14"/>
      <c r="K476" s="14"/>
      <c r="L476" s="14"/>
      <c r="M476" s="14"/>
      <c r="N476" s="703"/>
      <c r="O476" s="111"/>
      <c r="P476" s="703"/>
      <c r="Q476" s="14"/>
      <c r="R476" s="14"/>
      <c r="S476" s="14"/>
      <c r="T476" s="14"/>
      <c r="U476" s="14"/>
      <c r="V476" s="14"/>
      <c r="W476" s="14"/>
      <c r="X476" s="14"/>
      <c r="Y476" s="14"/>
      <c r="Z476" s="14"/>
      <c r="AA476" s="18"/>
      <c r="AB476" s="19"/>
      <c r="AC476" s="19"/>
      <c r="AD476" s="19"/>
      <c r="AE476" s="19"/>
      <c r="AF476" s="18"/>
      <c r="AG476" s="19"/>
      <c r="AH476" s="19"/>
      <c r="AI476" s="19"/>
      <c r="AJ476" s="19"/>
      <c r="AK476" s="18"/>
      <c r="AL476" s="19"/>
      <c r="AM476" s="19"/>
      <c r="AN476" s="19"/>
      <c r="AO476" s="19"/>
      <c r="AP476" s="18"/>
      <c r="AQ476" s="19"/>
      <c r="AR476" s="19"/>
      <c r="AS476" s="19"/>
      <c r="AT476" s="19"/>
      <c r="AU476" s="18"/>
      <c r="AV476" s="19"/>
      <c r="AW476" s="19"/>
      <c r="AX476" s="19"/>
      <c r="AY476" s="19"/>
      <c r="AZ476" s="18"/>
      <c r="BA476" s="19"/>
      <c r="BB476" s="19"/>
      <c r="BC476" s="19"/>
      <c r="BD476" s="19"/>
      <c r="BE476" s="18"/>
      <c r="BF476" s="19"/>
      <c r="BG476" s="19"/>
      <c r="BH476" s="19"/>
      <c r="BI476" s="19"/>
      <c r="BJ476" s="18"/>
      <c r="BK476" s="19"/>
      <c r="BL476" s="19"/>
      <c r="BM476" s="19"/>
      <c r="BN476" s="19"/>
      <c r="BO476" s="18"/>
      <c r="BP476" s="19"/>
      <c r="BQ476" s="19"/>
      <c r="BR476" s="19"/>
      <c r="BS476" s="19"/>
      <c r="BT476" s="18"/>
      <c r="BU476" s="19"/>
      <c r="BV476" s="19"/>
      <c r="BW476" s="19"/>
      <c r="BX476" s="19"/>
      <c r="BY476" s="18"/>
      <c r="BZ476" s="19"/>
      <c r="CA476" s="19"/>
      <c r="CB476" s="19"/>
      <c r="CC476" s="19"/>
      <c r="CD476" s="18"/>
      <c r="CE476" s="19"/>
      <c r="CF476" s="19"/>
      <c r="CG476" s="19"/>
      <c r="CH476" s="19"/>
      <c r="CI476" s="18"/>
      <c r="CJ476" s="19"/>
      <c r="CK476" s="19"/>
      <c r="CL476" s="19"/>
      <c r="CM476" s="19"/>
      <c r="CN476" s="687"/>
      <c r="CO476" s="687"/>
      <c r="CP476" s="687"/>
      <c r="CQ476" s="687"/>
      <c r="CR476" s="687"/>
      <c r="CS476" s="687"/>
      <c r="CT476" s="14"/>
    </row>
    <row r="477" spans="1:98" s="4" customFormat="1" x14ac:dyDescent="0.3">
      <c r="A477" s="14"/>
      <c r="B477" s="292"/>
      <c r="C477" s="292"/>
      <c r="D477" s="14"/>
      <c r="E477" s="14"/>
      <c r="F477" s="703"/>
      <c r="G477" s="14"/>
      <c r="H477" s="14"/>
      <c r="I477" s="14"/>
      <c r="J477" s="14"/>
      <c r="K477" s="14"/>
      <c r="L477" s="14"/>
      <c r="M477" s="14"/>
      <c r="N477" s="703"/>
      <c r="O477" s="111"/>
      <c r="P477" s="703"/>
      <c r="Q477" s="14"/>
      <c r="R477" s="14"/>
      <c r="S477" s="14"/>
      <c r="T477" s="14"/>
      <c r="U477" s="14"/>
      <c r="V477" s="14"/>
      <c r="W477" s="14"/>
      <c r="X477" s="14"/>
      <c r="Y477" s="14"/>
      <c r="Z477" s="14"/>
      <c r="AA477" s="18"/>
      <c r="AB477" s="19"/>
      <c r="AC477" s="19"/>
      <c r="AD477" s="19"/>
      <c r="AE477" s="19"/>
      <c r="AF477" s="18"/>
      <c r="AG477" s="19"/>
      <c r="AH477" s="19"/>
      <c r="AI477" s="19"/>
      <c r="AJ477" s="19"/>
      <c r="AK477" s="18"/>
      <c r="AL477" s="19"/>
      <c r="AM477" s="19"/>
      <c r="AN477" s="19"/>
      <c r="AO477" s="19"/>
      <c r="AP477" s="18"/>
      <c r="AQ477" s="19"/>
      <c r="AR477" s="19"/>
      <c r="AS477" s="19"/>
      <c r="AT477" s="19"/>
      <c r="AU477" s="18"/>
      <c r="AV477" s="19"/>
      <c r="AW477" s="19"/>
      <c r="AX477" s="19"/>
      <c r="AY477" s="19"/>
      <c r="AZ477" s="18"/>
      <c r="BA477" s="19"/>
      <c r="BB477" s="19"/>
      <c r="BC477" s="19"/>
      <c r="BD477" s="19"/>
      <c r="BE477" s="18"/>
      <c r="BF477" s="19"/>
      <c r="BG477" s="19"/>
      <c r="BH477" s="19"/>
      <c r="BI477" s="19"/>
      <c r="BJ477" s="18"/>
      <c r="BK477" s="19"/>
      <c r="BL477" s="19"/>
      <c r="BM477" s="19"/>
      <c r="BN477" s="19"/>
      <c r="BO477" s="18"/>
      <c r="BP477" s="19"/>
      <c r="BQ477" s="19"/>
      <c r="BR477" s="19"/>
      <c r="BS477" s="19"/>
      <c r="BT477" s="18"/>
      <c r="BU477" s="19"/>
      <c r="BV477" s="19"/>
      <c r="BW477" s="19"/>
      <c r="BX477" s="19"/>
      <c r="BY477" s="18"/>
      <c r="BZ477" s="19"/>
      <c r="CA477" s="19"/>
      <c r="CB477" s="19"/>
      <c r="CC477" s="19"/>
      <c r="CD477" s="18"/>
      <c r="CE477" s="19"/>
      <c r="CF477" s="19"/>
      <c r="CG477" s="19"/>
      <c r="CH477" s="19"/>
      <c r="CI477" s="18"/>
      <c r="CJ477" s="19"/>
      <c r="CK477" s="19"/>
      <c r="CL477" s="19"/>
      <c r="CM477" s="19"/>
      <c r="CN477" s="687"/>
      <c r="CO477" s="687"/>
      <c r="CP477" s="687"/>
      <c r="CQ477" s="687"/>
      <c r="CR477" s="687"/>
      <c r="CS477" s="687"/>
      <c r="CT477" s="14"/>
    </row>
    <row r="478" spans="1:98" s="4" customFormat="1" x14ac:dyDescent="0.3">
      <c r="A478" s="14"/>
      <c r="B478" s="292"/>
      <c r="C478" s="292"/>
      <c r="D478" s="14"/>
      <c r="E478" s="14"/>
      <c r="F478" s="703"/>
      <c r="G478" s="14"/>
      <c r="H478" s="14"/>
      <c r="I478" s="14"/>
      <c r="J478" s="14"/>
      <c r="K478" s="14"/>
      <c r="L478" s="14"/>
      <c r="M478" s="14"/>
      <c r="N478" s="703"/>
      <c r="O478" s="111"/>
      <c r="P478" s="703"/>
      <c r="Q478" s="14"/>
      <c r="R478" s="14"/>
      <c r="S478" s="14"/>
      <c r="T478" s="14"/>
      <c r="U478" s="14"/>
      <c r="V478" s="14"/>
      <c r="W478" s="14"/>
      <c r="X478" s="14"/>
      <c r="Y478" s="14"/>
      <c r="Z478" s="14"/>
      <c r="AA478" s="18"/>
      <c r="AB478" s="19"/>
      <c r="AC478" s="19"/>
      <c r="AD478" s="19"/>
      <c r="AE478" s="19"/>
      <c r="AF478" s="18"/>
      <c r="AG478" s="19"/>
      <c r="AH478" s="19"/>
      <c r="AI478" s="19"/>
      <c r="AJ478" s="19"/>
      <c r="AK478" s="18"/>
      <c r="AL478" s="19"/>
      <c r="AM478" s="19"/>
      <c r="AN478" s="19"/>
      <c r="AO478" s="19"/>
      <c r="AP478" s="18"/>
      <c r="AQ478" s="19"/>
      <c r="AR478" s="19"/>
      <c r="AS478" s="19"/>
      <c r="AT478" s="19"/>
      <c r="AU478" s="18"/>
      <c r="AV478" s="19"/>
      <c r="AW478" s="19"/>
      <c r="AX478" s="19"/>
      <c r="AY478" s="19"/>
      <c r="AZ478" s="18"/>
      <c r="BA478" s="19"/>
      <c r="BB478" s="19"/>
      <c r="BC478" s="19"/>
      <c r="BD478" s="19"/>
      <c r="BE478" s="18"/>
      <c r="BF478" s="19"/>
      <c r="BG478" s="19"/>
      <c r="BH478" s="19"/>
      <c r="BI478" s="19"/>
      <c r="BJ478" s="18"/>
      <c r="BK478" s="19"/>
      <c r="BL478" s="19"/>
      <c r="BM478" s="19"/>
      <c r="BN478" s="19"/>
      <c r="BO478" s="18"/>
      <c r="BP478" s="19"/>
      <c r="BQ478" s="19"/>
      <c r="BR478" s="19"/>
      <c r="BS478" s="19"/>
      <c r="BT478" s="18"/>
      <c r="BU478" s="19"/>
      <c r="BV478" s="19"/>
      <c r="BW478" s="19"/>
      <c r="BX478" s="19"/>
      <c r="BY478" s="18"/>
      <c r="BZ478" s="19"/>
      <c r="CA478" s="19"/>
      <c r="CB478" s="19"/>
      <c r="CC478" s="19"/>
      <c r="CD478" s="18"/>
      <c r="CE478" s="19"/>
      <c r="CF478" s="19"/>
      <c r="CG478" s="19"/>
      <c r="CH478" s="19"/>
      <c r="CI478" s="18"/>
      <c r="CJ478" s="19"/>
      <c r="CK478" s="19"/>
      <c r="CL478" s="19"/>
      <c r="CM478" s="19"/>
      <c r="CN478" s="687"/>
      <c r="CO478" s="687"/>
      <c r="CP478" s="687"/>
      <c r="CQ478" s="687"/>
      <c r="CR478" s="687"/>
      <c r="CS478" s="687"/>
      <c r="CT478" s="14"/>
    </row>
    <row r="479" spans="1:98" s="4" customFormat="1" x14ac:dyDescent="0.3">
      <c r="A479" s="14"/>
      <c r="B479" s="292"/>
      <c r="C479" s="292"/>
      <c r="D479" s="14"/>
      <c r="E479" s="14"/>
      <c r="F479" s="703"/>
      <c r="G479" s="14"/>
      <c r="H479" s="14"/>
      <c r="I479" s="14"/>
      <c r="J479" s="14"/>
      <c r="K479" s="14"/>
      <c r="L479" s="14"/>
      <c r="M479" s="14"/>
      <c r="N479" s="703"/>
      <c r="O479" s="111"/>
      <c r="P479" s="703"/>
      <c r="Q479" s="14"/>
      <c r="R479" s="14"/>
      <c r="S479" s="14"/>
      <c r="T479" s="14"/>
      <c r="U479" s="14"/>
      <c r="V479" s="14"/>
      <c r="W479" s="14"/>
      <c r="X479" s="14"/>
      <c r="Y479" s="14"/>
      <c r="Z479" s="14"/>
      <c r="AA479" s="18"/>
      <c r="AB479" s="19"/>
      <c r="AC479" s="19"/>
      <c r="AD479" s="19"/>
      <c r="AE479" s="19"/>
      <c r="AF479" s="18"/>
      <c r="AG479" s="19"/>
      <c r="AH479" s="19"/>
      <c r="AI479" s="19"/>
      <c r="AJ479" s="19"/>
      <c r="AK479" s="18"/>
      <c r="AL479" s="19"/>
      <c r="AM479" s="19"/>
      <c r="AN479" s="19"/>
      <c r="AO479" s="19"/>
      <c r="AP479" s="18"/>
      <c r="AQ479" s="19"/>
      <c r="AR479" s="19"/>
      <c r="AS479" s="19"/>
      <c r="AT479" s="19"/>
      <c r="AU479" s="18"/>
      <c r="AV479" s="19"/>
      <c r="AW479" s="19"/>
      <c r="AX479" s="19"/>
      <c r="AY479" s="19"/>
      <c r="AZ479" s="18"/>
      <c r="BA479" s="19"/>
      <c r="BB479" s="19"/>
      <c r="BC479" s="19"/>
      <c r="BD479" s="19"/>
      <c r="BE479" s="18"/>
      <c r="BF479" s="19"/>
      <c r="BG479" s="19"/>
      <c r="BH479" s="19"/>
      <c r="BI479" s="19"/>
      <c r="BJ479" s="18"/>
      <c r="BK479" s="19"/>
      <c r="BL479" s="19"/>
      <c r="BM479" s="19"/>
      <c r="BN479" s="19"/>
      <c r="BO479" s="18"/>
      <c r="BP479" s="19"/>
      <c r="BQ479" s="19"/>
      <c r="BR479" s="19"/>
      <c r="BS479" s="19"/>
      <c r="BT479" s="18"/>
      <c r="BU479" s="19"/>
      <c r="BV479" s="19"/>
      <c r="BW479" s="19"/>
      <c r="BX479" s="19"/>
      <c r="BY479" s="18"/>
      <c r="BZ479" s="19"/>
      <c r="CA479" s="19"/>
      <c r="CB479" s="19"/>
      <c r="CC479" s="19"/>
      <c r="CD479" s="18"/>
      <c r="CE479" s="19"/>
      <c r="CF479" s="19"/>
      <c r="CG479" s="19"/>
      <c r="CH479" s="19"/>
      <c r="CI479" s="18"/>
      <c r="CJ479" s="19"/>
      <c r="CK479" s="19"/>
      <c r="CL479" s="19"/>
      <c r="CM479" s="19"/>
      <c r="CN479" s="687"/>
      <c r="CO479" s="687"/>
      <c r="CP479" s="687"/>
      <c r="CQ479" s="687"/>
      <c r="CR479" s="687"/>
      <c r="CS479" s="687"/>
      <c r="CT479" s="14"/>
    </row>
    <row r="480" spans="1:98" s="4" customFormat="1" x14ac:dyDescent="0.3">
      <c r="A480" s="14"/>
      <c r="B480" s="292"/>
      <c r="C480" s="292"/>
      <c r="D480" s="14"/>
      <c r="E480" s="14"/>
      <c r="F480" s="703"/>
      <c r="G480" s="14"/>
      <c r="H480" s="14"/>
      <c r="I480" s="14"/>
      <c r="J480" s="14"/>
      <c r="K480" s="14"/>
      <c r="L480" s="14"/>
      <c r="M480" s="14"/>
      <c r="N480" s="703"/>
      <c r="O480" s="111"/>
      <c r="P480" s="703"/>
      <c r="Q480" s="14"/>
      <c r="R480" s="14"/>
      <c r="S480" s="14"/>
      <c r="T480" s="14"/>
      <c r="U480" s="14"/>
      <c r="V480" s="14"/>
      <c r="W480" s="14"/>
      <c r="X480" s="14"/>
      <c r="Y480" s="14"/>
      <c r="Z480" s="14"/>
      <c r="AA480" s="18"/>
      <c r="AB480" s="19"/>
      <c r="AC480" s="19"/>
      <c r="AD480" s="19"/>
      <c r="AE480" s="19"/>
      <c r="AF480" s="18"/>
      <c r="AG480" s="19"/>
      <c r="AH480" s="19"/>
      <c r="AI480" s="19"/>
      <c r="AJ480" s="19"/>
      <c r="AK480" s="18"/>
      <c r="AL480" s="19"/>
      <c r="AM480" s="19"/>
      <c r="AN480" s="19"/>
      <c r="AO480" s="19"/>
      <c r="AP480" s="18"/>
      <c r="AQ480" s="19"/>
      <c r="AR480" s="19"/>
      <c r="AS480" s="19"/>
      <c r="AT480" s="19"/>
      <c r="AU480" s="18"/>
      <c r="AV480" s="19"/>
      <c r="AW480" s="19"/>
      <c r="AX480" s="19"/>
      <c r="AY480" s="19"/>
      <c r="AZ480" s="18"/>
      <c r="BA480" s="19"/>
      <c r="BB480" s="19"/>
      <c r="BC480" s="19"/>
      <c r="BD480" s="19"/>
      <c r="BE480" s="18"/>
      <c r="BF480" s="19"/>
      <c r="BG480" s="19"/>
      <c r="BH480" s="19"/>
      <c r="BI480" s="19"/>
      <c r="BJ480" s="18"/>
      <c r="BK480" s="19"/>
      <c r="BL480" s="19"/>
      <c r="BM480" s="19"/>
      <c r="BN480" s="19"/>
      <c r="BO480" s="18"/>
      <c r="BP480" s="19"/>
      <c r="BQ480" s="19"/>
      <c r="BR480" s="19"/>
      <c r="BS480" s="19"/>
      <c r="BT480" s="18"/>
      <c r="BU480" s="19"/>
      <c r="BV480" s="19"/>
      <c r="BW480" s="19"/>
      <c r="BX480" s="19"/>
      <c r="BY480" s="18"/>
      <c r="BZ480" s="19"/>
      <c r="CA480" s="19"/>
      <c r="CB480" s="19"/>
      <c r="CC480" s="19"/>
      <c r="CD480" s="18"/>
      <c r="CE480" s="19"/>
      <c r="CF480" s="19"/>
      <c r="CG480" s="19"/>
      <c r="CH480" s="19"/>
      <c r="CI480" s="18"/>
      <c r="CJ480" s="19"/>
      <c r="CK480" s="19"/>
      <c r="CL480" s="19"/>
      <c r="CM480" s="19"/>
      <c r="CN480" s="687"/>
      <c r="CO480" s="687"/>
      <c r="CP480" s="687"/>
      <c r="CQ480" s="687"/>
      <c r="CR480" s="687"/>
      <c r="CS480" s="687"/>
      <c r="CT480" s="14"/>
    </row>
    <row r="481" spans="1:98" s="4" customFormat="1" x14ac:dyDescent="0.3">
      <c r="A481" s="14"/>
      <c r="B481" s="292"/>
      <c r="C481" s="292"/>
      <c r="D481" s="14"/>
      <c r="E481" s="14"/>
      <c r="F481" s="703"/>
      <c r="G481" s="14"/>
      <c r="H481" s="14"/>
      <c r="I481" s="14"/>
      <c r="J481" s="14"/>
      <c r="K481" s="14"/>
      <c r="L481" s="14"/>
      <c r="M481" s="14"/>
      <c r="N481" s="703"/>
      <c r="O481" s="111"/>
      <c r="P481" s="703"/>
      <c r="Q481" s="14"/>
      <c r="R481" s="14"/>
      <c r="S481" s="14"/>
      <c r="T481" s="14"/>
      <c r="U481" s="14"/>
      <c r="V481" s="14"/>
      <c r="W481" s="14"/>
      <c r="X481" s="14"/>
      <c r="Y481" s="14"/>
      <c r="Z481" s="14"/>
      <c r="AA481" s="18"/>
      <c r="AB481" s="19"/>
      <c r="AC481" s="19"/>
      <c r="AD481" s="19"/>
      <c r="AE481" s="19"/>
      <c r="AF481" s="18"/>
      <c r="AG481" s="19"/>
      <c r="AH481" s="19"/>
      <c r="AI481" s="19"/>
      <c r="AJ481" s="19"/>
      <c r="AK481" s="18"/>
      <c r="AL481" s="19"/>
      <c r="AM481" s="19"/>
      <c r="AN481" s="19"/>
      <c r="AO481" s="19"/>
      <c r="AP481" s="18"/>
      <c r="AQ481" s="19"/>
      <c r="AR481" s="19"/>
      <c r="AS481" s="19"/>
      <c r="AT481" s="19"/>
      <c r="AU481" s="18"/>
      <c r="AV481" s="19"/>
      <c r="AW481" s="19"/>
      <c r="AX481" s="19"/>
      <c r="AY481" s="19"/>
      <c r="AZ481" s="18"/>
      <c r="BA481" s="19"/>
      <c r="BB481" s="19"/>
      <c r="BC481" s="19"/>
      <c r="BD481" s="19"/>
      <c r="BE481" s="18"/>
      <c r="BF481" s="19"/>
      <c r="BG481" s="19"/>
      <c r="BH481" s="19"/>
      <c r="BI481" s="19"/>
      <c r="BJ481" s="18"/>
      <c r="BK481" s="19"/>
      <c r="BL481" s="19"/>
      <c r="BM481" s="19"/>
      <c r="BN481" s="19"/>
      <c r="BO481" s="18"/>
      <c r="BP481" s="19"/>
      <c r="BQ481" s="19"/>
      <c r="BR481" s="19"/>
      <c r="BS481" s="19"/>
      <c r="BT481" s="18"/>
      <c r="BU481" s="19"/>
      <c r="BV481" s="19"/>
      <c r="BW481" s="19"/>
      <c r="BX481" s="19"/>
      <c r="BY481" s="18"/>
      <c r="BZ481" s="19"/>
      <c r="CA481" s="19"/>
      <c r="CB481" s="19"/>
      <c r="CC481" s="19"/>
      <c r="CD481" s="18"/>
      <c r="CE481" s="19"/>
      <c r="CF481" s="19"/>
      <c r="CG481" s="19"/>
      <c r="CH481" s="19"/>
      <c r="CI481" s="18"/>
      <c r="CJ481" s="19"/>
      <c r="CK481" s="19"/>
      <c r="CL481" s="19"/>
      <c r="CM481" s="19"/>
      <c r="CN481" s="687"/>
      <c r="CO481" s="687"/>
      <c r="CP481" s="687"/>
      <c r="CQ481" s="687"/>
      <c r="CR481" s="687"/>
      <c r="CS481" s="687"/>
      <c r="CT481" s="14"/>
    </row>
    <row r="482" spans="1:98" s="4" customFormat="1" x14ac:dyDescent="0.3">
      <c r="A482" s="14"/>
      <c r="B482" s="292"/>
      <c r="C482" s="292"/>
      <c r="D482" s="14"/>
      <c r="E482" s="14"/>
      <c r="F482" s="703"/>
      <c r="G482" s="14"/>
      <c r="H482" s="14"/>
      <c r="I482" s="14"/>
      <c r="J482" s="14"/>
      <c r="K482" s="14"/>
      <c r="L482" s="14"/>
      <c r="M482" s="14"/>
      <c r="N482" s="703"/>
      <c r="O482" s="111"/>
      <c r="P482" s="703"/>
      <c r="Q482" s="14"/>
      <c r="R482" s="14"/>
      <c r="S482" s="14"/>
      <c r="T482" s="14"/>
      <c r="U482" s="14"/>
      <c r="V482" s="14"/>
      <c r="W482" s="14"/>
      <c r="X482" s="14"/>
      <c r="Y482" s="14"/>
      <c r="Z482" s="14"/>
      <c r="AA482" s="18"/>
      <c r="AB482" s="19"/>
      <c r="AC482" s="19"/>
      <c r="AD482" s="19"/>
      <c r="AE482" s="19"/>
      <c r="AF482" s="18"/>
      <c r="AG482" s="19"/>
      <c r="AH482" s="19"/>
      <c r="AI482" s="19"/>
      <c r="AJ482" s="19"/>
      <c r="AK482" s="18"/>
      <c r="AL482" s="19"/>
      <c r="AM482" s="19"/>
      <c r="AN482" s="19"/>
      <c r="AO482" s="19"/>
      <c r="AP482" s="18"/>
      <c r="AQ482" s="19"/>
      <c r="AR482" s="19"/>
      <c r="AS482" s="19"/>
      <c r="AT482" s="19"/>
      <c r="AU482" s="18"/>
      <c r="AV482" s="19"/>
      <c r="AW482" s="19"/>
      <c r="AX482" s="19"/>
      <c r="AY482" s="19"/>
      <c r="AZ482" s="18"/>
      <c r="BA482" s="19"/>
      <c r="BB482" s="19"/>
      <c r="BC482" s="19"/>
      <c r="BD482" s="19"/>
      <c r="BE482" s="18"/>
      <c r="BF482" s="19"/>
      <c r="BG482" s="19"/>
      <c r="BH482" s="19"/>
      <c r="BI482" s="19"/>
      <c r="BJ482" s="18"/>
      <c r="BK482" s="19"/>
      <c r="BL482" s="19"/>
      <c r="BM482" s="19"/>
      <c r="BN482" s="19"/>
      <c r="BO482" s="18"/>
      <c r="BP482" s="19"/>
      <c r="BQ482" s="19"/>
      <c r="BR482" s="19"/>
      <c r="BS482" s="19"/>
      <c r="BT482" s="18"/>
      <c r="BU482" s="19"/>
      <c r="BV482" s="19"/>
      <c r="BW482" s="19"/>
      <c r="BX482" s="19"/>
      <c r="BY482" s="18"/>
      <c r="BZ482" s="19"/>
      <c r="CA482" s="19"/>
      <c r="CB482" s="19"/>
      <c r="CC482" s="19"/>
      <c r="CD482" s="18"/>
      <c r="CE482" s="19"/>
      <c r="CF482" s="19"/>
      <c r="CG482" s="19"/>
      <c r="CH482" s="19"/>
      <c r="CI482" s="18"/>
      <c r="CJ482" s="19"/>
      <c r="CK482" s="19"/>
      <c r="CL482" s="19"/>
      <c r="CM482" s="19"/>
      <c r="CN482" s="687"/>
      <c r="CO482" s="687"/>
      <c r="CP482" s="687"/>
      <c r="CQ482" s="687"/>
      <c r="CR482" s="687"/>
      <c r="CS482" s="687"/>
      <c r="CT482" s="14"/>
    </row>
    <row r="483" spans="1:98" s="4" customFormat="1" x14ac:dyDescent="0.3">
      <c r="A483" s="14"/>
      <c r="B483" s="292"/>
      <c r="C483" s="292"/>
      <c r="D483" s="14"/>
      <c r="E483" s="14"/>
      <c r="F483" s="703"/>
      <c r="G483" s="14"/>
      <c r="H483" s="14"/>
      <c r="I483" s="14"/>
      <c r="J483" s="14"/>
      <c r="K483" s="14"/>
      <c r="L483" s="14"/>
      <c r="M483" s="14"/>
      <c r="N483" s="703"/>
      <c r="O483" s="111"/>
      <c r="P483" s="703"/>
      <c r="Q483" s="14"/>
      <c r="R483" s="14"/>
      <c r="S483" s="14"/>
      <c r="T483" s="14"/>
      <c r="U483" s="14"/>
      <c r="V483" s="14"/>
      <c r="W483" s="14"/>
      <c r="X483" s="14"/>
      <c r="Y483" s="14"/>
      <c r="Z483" s="14"/>
      <c r="AA483" s="18"/>
      <c r="AB483" s="19"/>
      <c r="AC483" s="19"/>
      <c r="AD483" s="19"/>
      <c r="AE483" s="19"/>
      <c r="AF483" s="18"/>
      <c r="AG483" s="19"/>
      <c r="AH483" s="19"/>
      <c r="AI483" s="19"/>
      <c r="AJ483" s="19"/>
      <c r="AK483" s="18"/>
      <c r="AL483" s="19"/>
      <c r="AM483" s="19"/>
      <c r="AN483" s="19"/>
      <c r="AO483" s="19"/>
      <c r="AP483" s="18"/>
      <c r="AQ483" s="19"/>
      <c r="AR483" s="19"/>
      <c r="AS483" s="19"/>
      <c r="AT483" s="19"/>
      <c r="AU483" s="18"/>
      <c r="AV483" s="19"/>
      <c r="AW483" s="19"/>
      <c r="AX483" s="19"/>
      <c r="AY483" s="19"/>
      <c r="AZ483" s="18"/>
      <c r="BA483" s="19"/>
      <c r="BB483" s="19"/>
      <c r="BC483" s="19"/>
      <c r="BD483" s="19"/>
      <c r="BE483" s="18"/>
      <c r="BF483" s="19"/>
      <c r="BG483" s="19"/>
      <c r="BH483" s="19"/>
      <c r="BI483" s="19"/>
      <c r="BJ483" s="18"/>
      <c r="BK483" s="19"/>
      <c r="BL483" s="19"/>
      <c r="BM483" s="19"/>
      <c r="BN483" s="19"/>
      <c r="BO483" s="18"/>
      <c r="BP483" s="19"/>
      <c r="BQ483" s="19"/>
      <c r="BR483" s="19"/>
      <c r="BS483" s="19"/>
      <c r="BT483" s="18"/>
      <c r="BU483" s="19"/>
      <c r="BV483" s="19"/>
      <c r="BW483" s="19"/>
      <c r="BX483" s="19"/>
      <c r="BY483" s="18"/>
      <c r="BZ483" s="19"/>
      <c r="CA483" s="19"/>
      <c r="CB483" s="19"/>
      <c r="CC483" s="19"/>
      <c r="CD483" s="18"/>
      <c r="CE483" s="19"/>
      <c r="CF483" s="19"/>
      <c r="CG483" s="19"/>
      <c r="CH483" s="19"/>
      <c r="CI483" s="18"/>
      <c r="CJ483" s="19"/>
      <c r="CK483" s="19"/>
      <c r="CL483" s="19"/>
      <c r="CM483" s="19"/>
      <c r="CN483" s="687"/>
      <c r="CO483" s="687"/>
      <c r="CP483" s="687"/>
      <c r="CQ483" s="687"/>
      <c r="CR483" s="687"/>
      <c r="CS483" s="687"/>
      <c r="CT483" s="14"/>
    </row>
    <row r="484" spans="1:98" s="4" customFormat="1" x14ac:dyDescent="0.3">
      <c r="A484" s="14"/>
      <c r="B484" s="292"/>
      <c r="C484" s="292"/>
      <c r="D484" s="14"/>
      <c r="E484" s="14"/>
      <c r="F484" s="703"/>
      <c r="G484" s="14"/>
      <c r="H484" s="14"/>
      <c r="I484" s="14"/>
      <c r="J484" s="14"/>
      <c r="K484" s="14"/>
      <c r="L484" s="14"/>
      <c r="M484" s="14"/>
      <c r="N484" s="703"/>
      <c r="O484" s="111"/>
      <c r="P484" s="703"/>
      <c r="Q484" s="14"/>
      <c r="R484" s="14"/>
      <c r="S484" s="14"/>
      <c r="T484" s="14"/>
      <c r="U484" s="14"/>
      <c r="V484" s="14"/>
      <c r="W484" s="14"/>
      <c r="X484" s="14"/>
      <c r="Y484" s="14"/>
      <c r="Z484" s="14"/>
      <c r="AA484" s="18"/>
      <c r="AB484" s="19"/>
      <c r="AC484" s="19"/>
      <c r="AD484" s="19"/>
      <c r="AE484" s="19"/>
      <c r="AF484" s="18"/>
      <c r="AG484" s="19"/>
      <c r="AH484" s="19"/>
      <c r="AI484" s="19"/>
      <c r="AJ484" s="19"/>
      <c r="AK484" s="18"/>
      <c r="AL484" s="19"/>
      <c r="AM484" s="19"/>
      <c r="AN484" s="19"/>
      <c r="AO484" s="19"/>
      <c r="AP484" s="18"/>
      <c r="AQ484" s="19"/>
      <c r="AR484" s="19"/>
      <c r="AS484" s="19"/>
      <c r="AT484" s="19"/>
      <c r="AU484" s="18"/>
      <c r="AV484" s="19"/>
      <c r="AW484" s="19"/>
      <c r="AX484" s="19"/>
      <c r="AY484" s="19"/>
      <c r="AZ484" s="18"/>
      <c r="BA484" s="19"/>
      <c r="BB484" s="19"/>
      <c r="BC484" s="19"/>
      <c r="BD484" s="19"/>
      <c r="BE484" s="18"/>
      <c r="BF484" s="19"/>
      <c r="BG484" s="19"/>
      <c r="BH484" s="19"/>
      <c r="BI484" s="19"/>
      <c r="BJ484" s="18"/>
      <c r="BK484" s="19"/>
      <c r="BL484" s="19"/>
      <c r="BM484" s="19"/>
      <c r="BN484" s="19"/>
      <c r="BO484" s="18"/>
      <c r="BP484" s="19"/>
      <c r="BQ484" s="19"/>
      <c r="BR484" s="19"/>
      <c r="BS484" s="19"/>
      <c r="BT484" s="18"/>
      <c r="BU484" s="19"/>
      <c r="BV484" s="19"/>
      <c r="BW484" s="19"/>
      <c r="BX484" s="19"/>
      <c r="BY484" s="18"/>
      <c r="BZ484" s="19"/>
      <c r="CA484" s="19"/>
      <c r="CB484" s="19"/>
      <c r="CC484" s="19"/>
      <c r="CD484" s="18"/>
      <c r="CE484" s="19"/>
      <c r="CF484" s="19"/>
      <c r="CG484" s="19"/>
      <c r="CH484" s="19"/>
      <c r="CI484" s="18"/>
      <c r="CJ484" s="19"/>
      <c r="CK484" s="19"/>
      <c r="CL484" s="19"/>
      <c r="CM484" s="19"/>
      <c r="CN484" s="687"/>
      <c r="CO484" s="687"/>
      <c r="CP484" s="687"/>
      <c r="CQ484" s="687"/>
      <c r="CR484" s="687"/>
      <c r="CS484" s="687"/>
      <c r="CT484" s="14"/>
    </row>
    <row r="485" spans="1:98" s="4" customFormat="1" x14ac:dyDescent="0.3">
      <c r="A485" s="14"/>
      <c r="B485" s="292"/>
      <c r="C485" s="292"/>
      <c r="D485" s="14"/>
      <c r="E485" s="14"/>
      <c r="F485" s="703"/>
      <c r="G485" s="14"/>
      <c r="H485" s="14"/>
      <c r="I485" s="14"/>
      <c r="J485" s="14"/>
      <c r="K485" s="14"/>
      <c r="L485" s="14"/>
      <c r="M485" s="14"/>
      <c r="N485" s="703"/>
      <c r="O485" s="111"/>
      <c r="P485" s="703"/>
      <c r="Q485" s="14"/>
      <c r="R485" s="14"/>
      <c r="S485" s="14"/>
      <c r="T485" s="14"/>
      <c r="U485" s="14"/>
      <c r="V485" s="14"/>
      <c r="W485" s="14"/>
      <c r="X485" s="14"/>
      <c r="Y485" s="14"/>
      <c r="Z485" s="14"/>
      <c r="AA485" s="18"/>
      <c r="AB485" s="19"/>
      <c r="AC485" s="19"/>
      <c r="AD485" s="19"/>
      <c r="AE485" s="19"/>
      <c r="AF485" s="18"/>
      <c r="AG485" s="19"/>
      <c r="AH485" s="19"/>
      <c r="AI485" s="19"/>
      <c r="AJ485" s="19"/>
      <c r="AK485" s="18"/>
      <c r="AL485" s="19"/>
      <c r="AM485" s="19"/>
      <c r="AN485" s="19"/>
      <c r="AO485" s="19"/>
      <c r="AP485" s="18"/>
      <c r="AQ485" s="19"/>
      <c r="AR485" s="19"/>
      <c r="AS485" s="19"/>
      <c r="AT485" s="19"/>
      <c r="AU485" s="18"/>
      <c r="AV485" s="19"/>
      <c r="AW485" s="19"/>
      <c r="AX485" s="19"/>
      <c r="AY485" s="19"/>
      <c r="AZ485" s="18"/>
      <c r="BA485" s="19"/>
      <c r="BB485" s="19"/>
      <c r="BC485" s="19"/>
      <c r="BD485" s="19"/>
      <c r="BE485" s="18"/>
      <c r="BF485" s="19"/>
      <c r="BG485" s="19"/>
      <c r="BH485" s="19"/>
      <c r="BI485" s="19"/>
      <c r="BJ485" s="18"/>
      <c r="BK485" s="19"/>
      <c r="BL485" s="19"/>
      <c r="BM485" s="19"/>
      <c r="BN485" s="19"/>
      <c r="BO485" s="18"/>
      <c r="BP485" s="19"/>
      <c r="BQ485" s="19"/>
      <c r="BR485" s="19"/>
      <c r="BS485" s="19"/>
      <c r="BT485" s="18"/>
      <c r="BU485" s="19"/>
      <c r="BV485" s="19"/>
      <c r="BW485" s="19"/>
      <c r="BX485" s="19"/>
      <c r="BY485" s="18"/>
      <c r="BZ485" s="19"/>
      <c r="CA485" s="19"/>
      <c r="CB485" s="19"/>
      <c r="CC485" s="19"/>
      <c r="CD485" s="18"/>
      <c r="CE485" s="19"/>
      <c r="CF485" s="19"/>
      <c r="CG485" s="19"/>
      <c r="CH485" s="19"/>
      <c r="CI485" s="18"/>
      <c r="CJ485" s="19"/>
      <c r="CK485" s="19"/>
      <c r="CL485" s="19"/>
      <c r="CM485" s="19"/>
      <c r="CN485" s="687"/>
      <c r="CO485" s="687"/>
      <c r="CP485" s="687"/>
      <c r="CQ485" s="687"/>
      <c r="CR485" s="687"/>
      <c r="CS485" s="687"/>
      <c r="CT485" s="14"/>
    </row>
    <row r="486" spans="1:98" s="4" customFormat="1" x14ac:dyDescent="0.3">
      <c r="A486" s="14"/>
      <c r="B486" s="292"/>
      <c r="C486" s="292"/>
      <c r="D486" s="14"/>
      <c r="E486" s="14"/>
      <c r="F486" s="703"/>
      <c r="G486" s="14"/>
      <c r="H486" s="14"/>
      <c r="I486" s="14"/>
      <c r="J486" s="14"/>
      <c r="K486" s="14"/>
      <c r="L486" s="14"/>
      <c r="M486" s="14"/>
      <c r="N486" s="703"/>
      <c r="O486" s="111"/>
      <c r="P486" s="703"/>
      <c r="Q486" s="14"/>
      <c r="R486" s="14"/>
      <c r="S486" s="14"/>
      <c r="T486" s="14"/>
      <c r="U486" s="14"/>
      <c r="V486" s="14"/>
      <c r="W486" s="14"/>
      <c r="X486" s="14"/>
      <c r="Y486" s="14"/>
      <c r="Z486" s="14"/>
      <c r="AA486" s="18"/>
      <c r="AB486" s="19"/>
      <c r="AC486" s="19"/>
      <c r="AD486" s="19"/>
      <c r="AE486" s="19"/>
      <c r="AF486" s="18"/>
      <c r="AG486" s="19"/>
      <c r="AH486" s="19"/>
      <c r="AI486" s="19"/>
      <c r="AJ486" s="19"/>
      <c r="AK486" s="18"/>
      <c r="AL486" s="19"/>
      <c r="AM486" s="19"/>
      <c r="AN486" s="19"/>
      <c r="AO486" s="19"/>
      <c r="AP486" s="18"/>
      <c r="AQ486" s="19"/>
      <c r="AR486" s="19"/>
      <c r="AS486" s="19"/>
      <c r="AT486" s="19"/>
      <c r="AU486" s="18"/>
      <c r="AV486" s="19"/>
      <c r="AW486" s="19"/>
      <c r="AX486" s="19"/>
      <c r="AY486" s="19"/>
      <c r="AZ486" s="18"/>
      <c r="BA486" s="19"/>
      <c r="BB486" s="19"/>
      <c r="BC486" s="19"/>
      <c r="BD486" s="19"/>
      <c r="BE486" s="18"/>
      <c r="BF486" s="19"/>
      <c r="BG486" s="19"/>
      <c r="BH486" s="19"/>
      <c r="BI486" s="19"/>
      <c r="BJ486" s="18"/>
      <c r="BK486" s="19"/>
      <c r="BL486" s="19"/>
      <c r="BM486" s="19"/>
      <c r="BN486" s="19"/>
      <c r="BO486" s="18"/>
      <c r="BP486" s="19"/>
      <c r="BQ486" s="19"/>
      <c r="BR486" s="19"/>
      <c r="BS486" s="19"/>
      <c r="BT486" s="18"/>
      <c r="BU486" s="19"/>
      <c r="BV486" s="19"/>
      <c r="BW486" s="19"/>
      <c r="BX486" s="19"/>
      <c r="BY486" s="18"/>
      <c r="BZ486" s="19"/>
      <c r="CA486" s="19"/>
      <c r="CB486" s="19"/>
      <c r="CC486" s="19"/>
      <c r="CD486" s="18"/>
      <c r="CE486" s="19"/>
      <c r="CF486" s="19"/>
      <c r="CG486" s="19"/>
      <c r="CH486" s="19"/>
      <c r="CI486" s="18"/>
      <c r="CJ486" s="19"/>
      <c r="CK486" s="19"/>
      <c r="CL486" s="19"/>
      <c r="CM486" s="19"/>
      <c r="CN486" s="687"/>
      <c r="CO486" s="687"/>
      <c r="CP486" s="687"/>
      <c r="CQ486" s="687"/>
      <c r="CR486" s="687"/>
      <c r="CS486" s="687"/>
      <c r="CT486" s="14"/>
    </row>
    <row r="487" spans="1:98" s="4" customFormat="1" x14ac:dyDescent="0.3">
      <c r="A487" s="14"/>
      <c r="B487" s="292"/>
      <c r="C487" s="292"/>
      <c r="D487" s="14"/>
      <c r="E487" s="14"/>
      <c r="F487" s="703"/>
      <c r="G487" s="14"/>
      <c r="H487" s="14"/>
      <c r="I487" s="14"/>
      <c r="J487" s="14"/>
      <c r="K487" s="14"/>
      <c r="L487" s="14"/>
      <c r="M487" s="14"/>
      <c r="N487" s="703"/>
      <c r="O487" s="111"/>
      <c r="P487" s="703"/>
      <c r="Q487" s="14"/>
      <c r="R487" s="14"/>
      <c r="S487" s="14"/>
      <c r="T487" s="14"/>
      <c r="U487" s="14"/>
      <c r="V487" s="14"/>
      <c r="W487" s="14"/>
      <c r="X487" s="14"/>
      <c r="Y487" s="14"/>
      <c r="Z487" s="14"/>
      <c r="AA487" s="18"/>
      <c r="AB487" s="19"/>
      <c r="AC487" s="19"/>
      <c r="AD487" s="19"/>
      <c r="AE487" s="19"/>
      <c r="AF487" s="18"/>
      <c r="AG487" s="19"/>
      <c r="AH487" s="19"/>
      <c r="AI487" s="19"/>
      <c r="AJ487" s="19"/>
      <c r="AK487" s="18"/>
      <c r="AL487" s="19"/>
      <c r="AM487" s="19"/>
      <c r="AN487" s="19"/>
      <c r="AO487" s="19"/>
      <c r="AP487" s="18"/>
      <c r="AQ487" s="19"/>
      <c r="AR487" s="19"/>
      <c r="AS487" s="19"/>
      <c r="AT487" s="19"/>
      <c r="AU487" s="18"/>
      <c r="AV487" s="19"/>
      <c r="AW487" s="19"/>
      <c r="AX487" s="19"/>
      <c r="AY487" s="19"/>
      <c r="AZ487" s="18"/>
      <c r="BA487" s="19"/>
      <c r="BB487" s="19"/>
      <c r="BC487" s="19"/>
      <c r="BD487" s="19"/>
      <c r="BE487" s="18"/>
      <c r="BF487" s="19"/>
      <c r="BG487" s="19"/>
      <c r="BH487" s="19"/>
      <c r="BI487" s="19"/>
      <c r="BJ487" s="18"/>
      <c r="BK487" s="19"/>
      <c r="BL487" s="19"/>
      <c r="BM487" s="19"/>
      <c r="BN487" s="19"/>
      <c r="BO487" s="18"/>
      <c r="BP487" s="19"/>
      <c r="BQ487" s="19"/>
      <c r="BR487" s="19"/>
      <c r="BS487" s="19"/>
      <c r="BT487" s="18"/>
      <c r="BU487" s="19"/>
      <c r="BV487" s="19"/>
      <c r="BW487" s="19"/>
      <c r="BX487" s="19"/>
      <c r="BY487" s="18"/>
      <c r="BZ487" s="19"/>
      <c r="CA487" s="19"/>
      <c r="CB487" s="19"/>
      <c r="CC487" s="19"/>
      <c r="CD487" s="18"/>
      <c r="CE487" s="19"/>
      <c r="CF487" s="19"/>
      <c r="CG487" s="19"/>
      <c r="CH487" s="19"/>
      <c r="CI487" s="18"/>
      <c r="CJ487" s="19"/>
      <c r="CK487" s="19"/>
      <c r="CL487" s="19"/>
      <c r="CM487" s="19"/>
      <c r="CN487" s="687"/>
      <c r="CO487" s="687"/>
      <c r="CP487" s="687"/>
      <c r="CQ487" s="687"/>
      <c r="CR487" s="687"/>
      <c r="CS487" s="687"/>
      <c r="CT487" s="14"/>
    </row>
    <row r="488" spans="1:98" s="4" customFormat="1" x14ac:dyDescent="0.3">
      <c r="A488" s="14"/>
      <c r="B488" s="292"/>
      <c r="C488" s="292"/>
      <c r="D488" s="14"/>
      <c r="E488" s="14"/>
      <c r="F488" s="703"/>
      <c r="G488" s="14"/>
      <c r="H488" s="14"/>
      <c r="I488" s="14"/>
      <c r="J488" s="14"/>
      <c r="K488" s="14"/>
      <c r="L488" s="14"/>
      <c r="M488" s="14"/>
      <c r="N488" s="703"/>
      <c r="O488" s="111"/>
      <c r="P488" s="703"/>
      <c r="Q488" s="14"/>
      <c r="R488" s="14"/>
      <c r="S488" s="14"/>
      <c r="T488" s="14"/>
      <c r="U488" s="14"/>
      <c r="V488" s="14"/>
      <c r="W488" s="14"/>
      <c r="X488" s="14"/>
      <c r="Y488" s="14"/>
      <c r="Z488" s="14"/>
      <c r="AA488" s="18"/>
      <c r="AB488" s="19"/>
      <c r="AC488" s="19"/>
      <c r="AD488" s="19"/>
      <c r="AE488" s="19"/>
      <c r="AF488" s="18"/>
      <c r="AG488" s="19"/>
      <c r="AH488" s="19"/>
      <c r="AI488" s="19"/>
      <c r="AJ488" s="19"/>
      <c r="AK488" s="18"/>
      <c r="AL488" s="19"/>
      <c r="AM488" s="19"/>
      <c r="AN488" s="19"/>
      <c r="AO488" s="19"/>
      <c r="AP488" s="18"/>
      <c r="AQ488" s="19"/>
      <c r="AR488" s="19"/>
      <c r="AS488" s="19"/>
      <c r="AT488" s="19"/>
      <c r="AU488" s="18"/>
      <c r="AV488" s="19"/>
      <c r="AW488" s="19"/>
      <c r="AX488" s="19"/>
      <c r="AY488" s="19"/>
      <c r="AZ488" s="18"/>
      <c r="BA488" s="19"/>
      <c r="BB488" s="19"/>
      <c r="BC488" s="19"/>
      <c r="BD488" s="19"/>
      <c r="BE488" s="18"/>
      <c r="BF488" s="19"/>
      <c r="BG488" s="19"/>
      <c r="BH488" s="19"/>
      <c r="BI488" s="19"/>
      <c r="BJ488" s="18"/>
      <c r="BK488" s="19"/>
      <c r="BL488" s="19"/>
      <c r="BM488" s="19"/>
      <c r="BN488" s="19"/>
      <c r="BO488" s="18"/>
      <c r="BP488" s="19"/>
      <c r="BQ488" s="19"/>
      <c r="BR488" s="19"/>
      <c r="BS488" s="19"/>
      <c r="BT488" s="18"/>
      <c r="BU488" s="19"/>
      <c r="BV488" s="19"/>
      <c r="BW488" s="19"/>
      <c r="BX488" s="19"/>
      <c r="BY488" s="18"/>
      <c r="BZ488" s="19"/>
      <c r="CA488" s="19"/>
      <c r="CB488" s="19"/>
      <c r="CC488" s="19"/>
      <c r="CD488" s="18"/>
      <c r="CE488" s="19"/>
      <c r="CF488" s="19"/>
      <c r="CG488" s="19"/>
      <c r="CH488" s="19"/>
      <c r="CI488" s="18"/>
      <c r="CJ488" s="19"/>
      <c r="CK488" s="19"/>
      <c r="CL488" s="19"/>
      <c r="CM488" s="19"/>
      <c r="CN488" s="687"/>
      <c r="CO488" s="687"/>
      <c r="CP488" s="687"/>
      <c r="CQ488" s="687"/>
      <c r="CR488" s="687"/>
      <c r="CS488" s="687"/>
      <c r="CT488" s="14"/>
    </row>
    <row r="489" spans="1:98" s="4" customFormat="1" x14ac:dyDescent="0.3">
      <c r="A489" s="14"/>
      <c r="B489" s="292"/>
      <c r="C489" s="292"/>
      <c r="D489" s="14"/>
      <c r="E489" s="14"/>
      <c r="F489" s="703"/>
      <c r="G489" s="14"/>
      <c r="H489" s="14"/>
      <c r="I489" s="14"/>
      <c r="J489" s="14"/>
      <c r="K489" s="14"/>
      <c r="L489" s="14"/>
      <c r="M489" s="14"/>
      <c r="N489" s="703"/>
      <c r="O489" s="111"/>
      <c r="P489" s="703"/>
      <c r="Q489" s="14"/>
      <c r="R489" s="14"/>
      <c r="S489" s="14"/>
      <c r="T489" s="14"/>
      <c r="U489" s="14"/>
      <c r="V489" s="14"/>
      <c r="W489" s="14"/>
      <c r="X489" s="14"/>
      <c r="Y489" s="14"/>
      <c r="Z489" s="14"/>
      <c r="AA489" s="18"/>
      <c r="AB489" s="19"/>
      <c r="AC489" s="19"/>
      <c r="AD489" s="19"/>
      <c r="AE489" s="19"/>
      <c r="AF489" s="18"/>
      <c r="AG489" s="19"/>
      <c r="AH489" s="19"/>
      <c r="AI489" s="19"/>
      <c r="AJ489" s="19"/>
      <c r="AK489" s="18"/>
      <c r="AL489" s="19"/>
      <c r="AM489" s="19"/>
      <c r="AN489" s="19"/>
      <c r="AO489" s="19"/>
      <c r="AP489" s="18"/>
      <c r="AQ489" s="19"/>
      <c r="AR489" s="19"/>
      <c r="AS489" s="19"/>
      <c r="AT489" s="19"/>
      <c r="AU489" s="18"/>
      <c r="AV489" s="19"/>
      <c r="AW489" s="19"/>
      <c r="AX489" s="19"/>
      <c r="AY489" s="19"/>
      <c r="AZ489" s="18"/>
      <c r="BA489" s="19"/>
      <c r="BB489" s="19"/>
      <c r="BC489" s="19"/>
      <c r="BD489" s="19"/>
      <c r="BE489" s="18"/>
      <c r="BF489" s="19"/>
      <c r="BG489" s="19"/>
      <c r="BH489" s="19"/>
      <c r="BI489" s="19"/>
      <c r="BJ489" s="18"/>
      <c r="BK489" s="19"/>
      <c r="BL489" s="19"/>
      <c r="BM489" s="19"/>
      <c r="BN489" s="19"/>
      <c r="BO489" s="18"/>
      <c r="BP489" s="19"/>
      <c r="BQ489" s="19"/>
      <c r="BR489" s="19"/>
      <c r="BS489" s="19"/>
      <c r="BT489" s="18"/>
      <c r="BU489" s="19"/>
      <c r="BV489" s="19"/>
      <c r="BW489" s="19"/>
      <c r="BX489" s="19"/>
      <c r="BY489" s="18"/>
      <c r="BZ489" s="19"/>
      <c r="CA489" s="19"/>
      <c r="CB489" s="19"/>
      <c r="CC489" s="19"/>
      <c r="CD489" s="18"/>
      <c r="CE489" s="19"/>
      <c r="CF489" s="19"/>
      <c r="CG489" s="19"/>
      <c r="CH489" s="19"/>
      <c r="CI489" s="18"/>
      <c r="CJ489" s="19"/>
      <c r="CK489" s="19"/>
      <c r="CL489" s="19"/>
      <c r="CM489" s="19"/>
      <c r="CN489" s="687"/>
      <c r="CO489" s="687"/>
      <c r="CP489" s="687"/>
      <c r="CQ489" s="687"/>
      <c r="CR489" s="687"/>
      <c r="CS489" s="687"/>
      <c r="CT489" s="14"/>
    </row>
    <row r="490" spans="1:98" s="4" customFormat="1" x14ac:dyDescent="0.3">
      <c r="A490" s="14"/>
      <c r="B490" s="292"/>
      <c r="C490" s="292"/>
      <c r="D490" s="14"/>
      <c r="E490" s="14"/>
      <c r="F490" s="703"/>
      <c r="G490" s="14"/>
      <c r="H490" s="14"/>
      <c r="I490" s="14"/>
      <c r="J490" s="14"/>
      <c r="K490" s="14"/>
      <c r="L490" s="14"/>
      <c r="M490" s="14"/>
      <c r="N490" s="703"/>
      <c r="O490" s="111"/>
      <c r="P490" s="703"/>
      <c r="Q490" s="14"/>
      <c r="R490" s="14"/>
      <c r="S490" s="14"/>
      <c r="T490" s="14"/>
      <c r="U490" s="14"/>
      <c r="V490" s="14"/>
      <c r="W490" s="14"/>
      <c r="X490" s="14"/>
      <c r="Y490" s="14"/>
      <c r="Z490" s="14"/>
      <c r="AA490" s="18"/>
      <c r="AB490" s="19"/>
      <c r="AC490" s="19"/>
      <c r="AD490" s="19"/>
      <c r="AE490" s="19"/>
      <c r="AF490" s="18"/>
      <c r="AG490" s="19"/>
      <c r="AH490" s="19"/>
      <c r="AI490" s="19"/>
      <c r="AJ490" s="19"/>
      <c r="AK490" s="18"/>
      <c r="AL490" s="19"/>
      <c r="AM490" s="19"/>
      <c r="AN490" s="19"/>
      <c r="AO490" s="19"/>
      <c r="AP490" s="18"/>
      <c r="AQ490" s="19"/>
      <c r="AR490" s="19"/>
      <c r="AS490" s="19"/>
      <c r="AT490" s="19"/>
      <c r="AU490" s="18"/>
      <c r="AV490" s="19"/>
      <c r="AW490" s="19"/>
      <c r="AX490" s="19"/>
      <c r="AY490" s="19"/>
      <c r="AZ490" s="18"/>
      <c r="BA490" s="19"/>
      <c r="BB490" s="19"/>
      <c r="BC490" s="19"/>
      <c r="BD490" s="19"/>
      <c r="BE490" s="18"/>
      <c r="BF490" s="19"/>
      <c r="BG490" s="19"/>
      <c r="BH490" s="19"/>
      <c r="BI490" s="19"/>
      <c r="BJ490" s="18"/>
      <c r="BK490" s="19"/>
      <c r="BL490" s="19"/>
      <c r="BM490" s="19"/>
      <c r="BN490" s="19"/>
      <c r="BO490" s="18"/>
      <c r="BP490" s="19"/>
      <c r="BQ490" s="19"/>
      <c r="BR490" s="19"/>
      <c r="BS490" s="19"/>
      <c r="BT490" s="18"/>
      <c r="BU490" s="19"/>
      <c r="BV490" s="19"/>
      <c r="BW490" s="19"/>
      <c r="BX490" s="19"/>
      <c r="BY490" s="18"/>
      <c r="BZ490" s="19"/>
      <c r="CA490" s="19"/>
      <c r="CB490" s="19"/>
      <c r="CC490" s="19"/>
      <c r="CD490" s="18"/>
      <c r="CE490" s="19"/>
      <c r="CF490" s="19"/>
      <c r="CG490" s="19"/>
      <c r="CH490" s="19"/>
      <c r="CI490" s="18"/>
      <c r="CJ490" s="19"/>
      <c r="CK490" s="19"/>
      <c r="CL490" s="19"/>
      <c r="CM490" s="19"/>
      <c r="CN490" s="687"/>
      <c r="CO490" s="687"/>
      <c r="CP490" s="687"/>
      <c r="CQ490" s="687"/>
      <c r="CR490" s="687"/>
      <c r="CS490" s="687"/>
      <c r="CT490" s="14"/>
    </row>
    <row r="491" spans="1:98" s="4" customFormat="1" x14ac:dyDescent="0.3">
      <c r="A491" s="14"/>
      <c r="B491" s="292"/>
      <c r="C491" s="292"/>
      <c r="D491" s="14"/>
      <c r="E491" s="14"/>
      <c r="F491" s="703"/>
      <c r="G491" s="14"/>
      <c r="H491" s="14"/>
      <c r="I491" s="14"/>
      <c r="J491" s="14"/>
      <c r="K491" s="14"/>
      <c r="L491" s="14"/>
      <c r="M491" s="14"/>
      <c r="N491" s="703"/>
      <c r="O491" s="111"/>
      <c r="P491" s="703"/>
      <c r="Q491" s="14"/>
      <c r="R491" s="14"/>
      <c r="S491" s="14"/>
      <c r="T491" s="14"/>
      <c r="U491" s="14"/>
      <c r="V491" s="14"/>
      <c r="W491" s="14"/>
      <c r="X491" s="14"/>
      <c r="Y491" s="14"/>
      <c r="Z491" s="14"/>
      <c r="AA491" s="18"/>
      <c r="AB491" s="19"/>
      <c r="AC491" s="19"/>
      <c r="AD491" s="19"/>
      <c r="AE491" s="19"/>
      <c r="AF491" s="18"/>
      <c r="AG491" s="19"/>
      <c r="AH491" s="19"/>
      <c r="AI491" s="19"/>
      <c r="AJ491" s="19"/>
      <c r="AK491" s="18"/>
      <c r="AL491" s="19"/>
      <c r="AM491" s="19"/>
      <c r="AN491" s="19"/>
      <c r="AO491" s="19"/>
      <c r="AP491" s="18"/>
      <c r="AQ491" s="19"/>
      <c r="AR491" s="19"/>
      <c r="AS491" s="19"/>
      <c r="AT491" s="19"/>
      <c r="AU491" s="18"/>
      <c r="AV491" s="19"/>
      <c r="AW491" s="19"/>
      <c r="AX491" s="19"/>
      <c r="AY491" s="19"/>
      <c r="AZ491" s="18"/>
      <c r="BA491" s="19"/>
      <c r="BB491" s="19"/>
      <c r="BC491" s="19"/>
      <c r="BD491" s="19"/>
      <c r="BE491" s="18"/>
      <c r="BF491" s="19"/>
      <c r="BG491" s="19"/>
      <c r="BH491" s="19"/>
      <c r="BI491" s="19"/>
      <c r="BJ491" s="18"/>
      <c r="BK491" s="19"/>
      <c r="BL491" s="19"/>
      <c r="BM491" s="19"/>
      <c r="BN491" s="19"/>
      <c r="BO491" s="18"/>
      <c r="BP491" s="19"/>
      <c r="BQ491" s="19"/>
      <c r="BR491" s="19"/>
      <c r="BS491" s="19"/>
      <c r="BT491" s="18"/>
      <c r="BU491" s="19"/>
      <c r="BV491" s="19"/>
      <c r="BW491" s="19"/>
      <c r="BX491" s="19"/>
      <c r="BY491" s="18"/>
      <c r="BZ491" s="19"/>
      <c r="CA491" s="19"/>
      <c r="CB491" s="19"/>
      <c r="CC491" s="19"/>
      <c r="CD491" s="18"/>
      <c r="CE491" s="19"/>
      <c r="CF491" s="19"/>
      <c r="CG491" s="19"/>
      <c r="CH491" s="19"/>
      <c r="CI491" s="18"/>
      <c r="CJ491" s="19"/>
      <c r="CK491" s="19"/>
      <c r="CL491" s="19"/>
      <c r="CM491" s="19"/>
      <c r="CN491" s="687"/>
      <c r="CO491" s="687"/>
      <c r="CP491" s="687"/>
      <c r="CQ491" s="687"/>
      <c r="CR491" s="687"/>
      <c r="CS491" s="687"/>
      <c r="CT491" s="14"/>
    </row>
    <row r="492" spans="1:98" s="4" customFormat="1" x14ac:dyDescent="0.3">
      <c r="A492" s="14"/>
      <c r="B492" s="292"/>
      <c r="C492" s="292"/>
      <c r="D492" s="14"/>
      <c r="E492" s="14"/>
      <c r="F492" s="703"/>
      <c r="G492" s="14"/>
      <c r="H492" s="14"/>
      <c r="I492" s="14"/>
      <c r="J492" s="14"/>
      <c r="K492" s="14"/>
      <c r="L492" s="14"/>
      <c r="M492" s="14"/>
      <c r="N492" s="703"/>
      <c r="O492" s="111"/>
      <c r="P492" s="703"/>
      <c r="Q492" s="14"/>
      <c r="R492" s="14"/>
      <c r="S492" s="14"/>
      <c r="T492" s="14"/>
      <c r="U492" s="14"/>
      <c r="V492" s="14"/>
      <c r="W492" s="14"/>
      <c r="X492" s="14"/>
      <c r="Y492" s="14"/>
      <c r="Z492" s="14"/>
      <c r="AA492" s="18"/>
      <c r="AB492" s="19"/>
      <c r="AC492" s="19"/>
      <c r="AD492" s="19"/>
      <c r="AE492" s="19"/>
      <c r="AF492" s="18"/>
      <c r="AG492" s="19"/>
      <c r="AH492" s="19"/>
      <c r="AI492" s="19"/>
      <c r="AJ492" s="19"/>
      <c r="AK492" s="18"/>
      <c r="AL492" s="19"/>
      <c r="AM492" s="19"/>
      <c r="AN492" s="19"/>
      <c r="AO492" s="19"/>
      <c r="AP492" s="18"/>
      <c r="AQ492" s="19"/>
      <c r="AR492" s="19"/>
      <c r="AS492" s="19"/>
      <c r="AT492" s="19"/>
      <c r="AU492" s="18"/>
      <c r="AV492" s="19"/>
      <c r="AW492" s="19"/>
      <c r="AX492" s="19"/>
      <c r="AY492" s="19"/>
      <c r="AZ492" s="18"/>
      <c r="BA492" s="19"/>
      <c r="BB492" s="19"/>
      <c r="BC492" s="19"/>
      <c r="BD492" s="19"/>
      <c r="BE492" s="18"/>
      <c r="BF492" s="19"/>
      <c r="BG492" s="19"/>
      <c r="BH492" s="19"/>
      <c r="BI492" s="19"/>
      <c r="BJ492" s="18"/>
      <c r="BK492" s="19"/>
      <c r="BL492" s="19"/>
      <c r="BM492" s="19"/>
      <c r="BN492" s="19"/>
      <c r="BO492" s="18"/>
      <c r="BP492" s="19"/>
      <c r="BQ492" s="19"/>
      <c r="BR492" s="19"/>
      <c r="BS492" s="19"/>
      <c r="BT492" s="18"/>
      <c r="BU492" s="19"/>
      <c r="BV492" s="19"/>
      <c r="BW492" s="19"/>
      <c r="BX492" s="19"/>
      <c r="BY492" s="18"/>
      <c r="BZ492" s="19"/>
      <c r="CA492" s="19"/>
      <c r="CB492" s="19"/>
      <c r="CC492" s="19"/>
      <c r="CD492" s="18"/>
      <c r="CE492" s="19"/>
      <c r="CF492" s="19"/>
      <c r="CG492" s="19"/>
      <c r="CH492" s="19"/>
      <c r="CI492" s="18"/>
      <c r="CJ492" s="19"/>
      <c r="CK492" s="19"/>
      <c r="CL492" s="19"/>
      <c r="CM492" s="19"/>
      <c r="CN492" s="687"/>
      <c r="CO492" s="687"/>
      <c r="CP492" s="687"/>
      <c r="CQ492" s="687"/>
      <c r="CR492" s="687"/>
      <c r="CS492" s="687"/>
      <c r="CT492" s="14"/>
    </row>
    <row r="493" spans="1:98" s="4" customFormat="1" x14ac:dyDescent="0.3">
      <c r="A493" s="14"/>
      <c r="B493" s="292"/>
      <c r="C493" s="292"/>
      <c r="D493" s="14"/>
      <c r="E493" s="14"/>
      <c r="F493" s="703"/>
      <c r="G493" s="14"/>
      <c r="H493" s="14"/>
      <c r="I493" s="14"/>
      <c r="J493" s="14"/>
      <c r="K493" s="14"/>
      <c r="L493" s="14"/>
      <c r="M493" s="14"/>
      <c r="N493" s="703"/>
      <c r="O493" s="111"/>
      <c r="P493" s="703"/>
      <c r="Q493" s="14"/>
      <c r="R493" s="14"/>
      <c r="S493" s="14"/>
      <c r="T493" s="14"/>
      <c r="U493" s="14"/>
      <c r="V493" s="14"/>
      <c r="W493" s="14"/>
      <c r="X493" s="14"/>
      <c r="Y493" s="14"/>
      <c r="Z493" s="14"/>
      <c r="AA493" s="18"/>
      <c r="AB493" s="19"/>
      <c r="AC493" s="19"/>
      <c r="AD493" s="19"/>
      <c r="AE493" s="19"/>
      <c r="AF493" s="18"/>
      <c r="AG493" s="19"/>
      <c r="AH493" s="19"/>
      <c r="AI493" s="19"/>
      <c r="AJ493" s="19"/>
      <c r="AK493" s="18"/>
      <c r="AL493" s="19"/>
      <c r="AM493" s="19"/>
      <c r="AN493" s="19"/>
      <c r="AO493" s="19"/>
      <c r="AP493" s="18"/>
      <c r="AQ493" s="19"/>
      <c r="AR493" s="19"/>
      <c r="AS493" s="19"/>
      <c r="AT493" s="19"/>
      <c r="AU493" s="18"/>
      <c r="AV493" s="19"/>
      <c r="AW493" s="19"/>
      <c r="AX493" s="19"/>
      <c r="AY493" s="19"/>
      <c r="AZ493" s="18"/>
      <c r="BA493" s="19"/>
      <c r="BB493" s="19"/>
      <c r="BC493" s="19"/>
      <c r="BD493" s="19"/>
      <c r="BE493" s="18"/>
      <c r="BF493" s="19"/>
      <c r="BG493" s="19"/>
      <c r="BH493" s="19"/>
      <c r="BI493" s="19"/>
      <c r="BJ493" s="18"/>
      <c r="BK493" s="19"/>
      <c r="BL493" s="19"/>
      <c r="BM493" s="19"/>
      <c r="BN493" s="19"/>
      <c r="BO493" s="18"/>
      <c r="BP493" s="19"/>
      <c r="BQ493" s="19"/>
      <c r="BR493" s="19"/>
      <c r="BS493" s="19"/>
      <c r="BT493" s="18"/>
      <c r="BU493" s="19"/>
      <c r="BV493" s="19"/>
      <c r="BW493" s="19"/>
      <c r="BX493" s="19"/>
      <c r="BY493" s="18"/>
      <c r="BZ493" s="19"/>
      <c r="CA493" s="19"/>
      <c r="CB493" s="19"/>
      <c r="CC493" s="19"/>
      <c r="CD493" s="18"/>
      <c r="CE493" s="19"/>
      <c r="CF493" s="19"/>
      <c r="CG493" s="19"/>
      <c r="CH493" s="19"/>
      <c r="CI493" s="18"/>
      <c r="CJ493" s="19"/>
      <c r="CK493" s="19"/>
      <c r="CL493" s="19"/>
      <c r="CM493" s="19"/>
      <c r="CN493" s="687"/>
      <c r="CO493" s="687"/>
      <c r="CP493" s="687"/>
      <c r="CQ493" s="687"/>
      <c r="CR493" s="687"/>
      <c r="CS493" s="687"/>
      <c r="CT493" s="14"/>
    </row>
    <row r="494" spans="1:98" s="4" customFormat="1" x14ac:dyDescent="0.3">
      <c r="A494" s="14"/>
      <c r="B494" s="292"/>
      <c r="C494" s="292"/>
      <c r="D494" s="14"/>
      <c r="E494" s="14"/>
      <c r="F494" s="703"/>
      <c r="G494" s="14"/>
      <c r="H494" s="14"/>
      <c r="I494" s="14"/>
      <c r="J494" s="14"/>
      <c r="K494" s="14"/>
      <c r="L494" s="14"/>
      <c r="M494" s="14"/>
      <c r="N494" s="703"/>
      <c r="O494" s="111"/>
      <c r="P494" s="703"/>
      <c r="Q494" s="14"/>
      <c r="R494" s="14"/>
      <c r="S494" s="14"/>
      <c r="T494" s="14"/>
      <c r="U494" s="14"/>
      <c r="V494" s="14"/>
      <c r="W494" s="14"/>
      <c r="X494" s="14"/>
      <c r="Y494" s="14"/>
      <c r="Z494" s="14"/>
      <c r="AA494" s="18"/>
      <c r="AB494" s="19"/>
      <c r="AC494" s="19"/>
      <c r="AD494" s="19"/>
      <c r="AE494" s="19"/>
      <c r="AF494" s="18"/>
      <c r="AG494" s="19"/>
      <c r="AH494" s="19"/>
      <c r="AI494" s="19"/>
      <c r="AJ494" s="19"/>
      <c r="AK494" s="18"/>
      <c r="AL494" s="19"/>
      <c r="AM494" s="19"/>
      <c r="AN494" s="19"/>
      <c r="AO494" s="19"/>
      <c r="AP494" s="18"/>
      <c r="AQ494" s="19"/>
      <c r="AR494" s="19"/>
      <c r="AS494" s="19"/>
      <c r="AT494" s="19"/>
      <c r="AU494" s="18"/>
      <c r="AV494" s="19"/>
      <c r="AW494" s="19"/>
      <c r="AX494" s="19"/>
      <c r="AY494" s="19"/>
      <c r="AZ494" s="18"/>
      <c r="BA494" s="19"/>
      <c r="BB494" s="19"/>
      <c r="BC494" s="19"/>
      <c r="BD494" s="19"/>
      <c r="BE494" s="18"/>
      <c r="BF494" s="19"/>
      <c r="BG494" s="19"/>
      <c r="BH494" s="19"/>
      <c r="BI494" s="19"/>
      <c r="BJ494" s="18"/>
      <c r="BK494" s="19"/>
      <c r="BL494" s="19"/>
      <c r="BM494" s="19"/>
      <c r="BN494" s="19"/>
      <c r="BO494" s="18"/>
      <c r="BP494" s="19"/>
      <c r="BQ494" s="19"/>
      <c r="BR494" s="19"/>
      <c r="BS494" s="19"/>
      <c r="BT494" s="18"/>
      <c r="BU494" s="19"/>
      <c r="BV494" s="19"/>
      <c r="BW494" s="19"/>
      <c r="BX494" s="19"/>
      <c r="BY494" s="18"/>
      <c r="BZ494" s="19"/>
      <c r="CA494" s="19"/>
      <c r="CB494" s="19"/>
      <c r="CC494" s="19"/>
      <c r="CD494" s="18"/>
      <c r="CE494" s="19"/>
      <c r="CF494" s="19"/>
      <c r="CG494" s="19"/>
      <c r="CH494" s="19"/>
      <c r="CI494" s="18"/>
      <c r="CJ494" s="19"/>
      <c r="CK494" s="19"/>
      <c r="CL494" s="19"/>
      <c r="CM494" s="19"/>
      <c r="CN494" s="687"/>
      <c r="CO494" s="687"/>
      <c r="CP494" s="687"/>
      <c r="CQ494" s="687"/>
      <c r="CR494" s="687"/>
      <c r="CS494" s="687"/>
      <c r="CT494" s="14"/>
    </row>
    <row r="495" spans="1:98" s="4" customFormat="1" x14ac:dyDescent="0.3">
      <c r="A495" s="14"/>
      <c r="B495" s="292"/>
      <c r="C495" s="292"/>
      <c r="D495" s="14"/>
      <c r="E495" s="14"/>
      <c r="F495" s="703"/>
      <c r="G495" s="14"/>
      <c r="H495" s="14"/>
      <c r="I495" s="14"/>
      <c r="J495" s="14"/>
      <c r="K495" s="14"/>
      <c r="L495" s="14"/>
      <c r="M495" s="14"/>
      <c r="N495" s="703"/>
      <c r="O495" s="111"/>
      <c r="P495" s="703"/>
      <c r="Q495" s="14"/>
      <c r="R495" s="14"/>
      <c r="S495" s="14"/>
      <c r="T495" s="14"/>
      <c r="U495" s="14"/>
      <c r="V495" s="14"/>
      <c r="W495" s="14"/>
      <c r="X495" s="14"/>
      <c r="Y495" s="14"/>
      <c r="Z495" s="14"/>
      <c r="AA495" s="18"/>
      <c r="AB495" s="19"/>
      <c r="AC495" s="19"/>
      <c r="AD495" s="19"/>
      <c r="AE495" s="19"/>
      <c r="AF495" s="18"/>
      <c r="AG495" s="19"/>
      <c r="AH495" s="19"/>
      <c r="AI495" s="19"/>
      <c r="AJ495" s="19"/>
      <c r="AK495" s="18"/>
      <c r="AL495" s="19"/>
      <c r="AM495" s="19"/>
      <c r="AN495" s="19"/>
      <c r="AO495" s="19"/>
      <c r="AP495" s="18"/>
      <c r="AQ495" s="19"/>
      <c r="AR495" s="19"/>
      <c r="AS495" s="19"/>
      <c r="AT495" s="19"/>
      <c r="AU495" s="18"/>
      <c r="AV495" s="19"/>
      <c r="AW495" s="19"/>
      <c r="AX495" s="19"/>
      <c r="AY495" s="19"/>
      <c r="AZ495" s="18"/>
      <c r="BA495" s="19"/>
      <c r="BB495" s="19"/>
      <c r="BC495" s="19"/>
      <c r="BD495" s="19"/>
      <c r="BE495" s="18"/>
      <c r="BF495" s="19"/>
      <c r="BG495" s="19"/>
      <c r="BH495" s="19"/>
      <c r="BI495" s="19"/>
      <c r="BJ495" s="18"/>
      <c r="BK495" s="19"/>
      <c r="BL495" s="19"/>
      <c r="BM495" s="19"/>
      <c r="BN495" s="19"/>
      <c r="BO495" s="18"/>
      <c r="BP495" s="19"/>
      <c r="BQ495" s="19"/>
      <c r="BR495" s="19"/>
      <c r="BS495" s="19"/>
      <c r="BT495" s="18"/>
      <c r="BU495" s="19"/>
      <c r="BV495" s="19"/>
      <c r="BW495" s="19"/>
      <c r="BX495" s="19"/>
      <c r="BY495" s="18"/>
      <c r="BZ495" s="19"/>
      <c r="CA495" s="19"/>
      <c r="CB495" s="19"/>
      <c r="CC495" s="19"/>
      <c r="CD495" s="18"/>
      <c r="CE495" s="19"/>
      <c r="CF495" s="19"/>
      <c r="CG495" s="19"/>
      <c r="CH495" s="19"/>
      <c r="CI495" s="18"/>
      <c r="CJ495" s="19"/>
      <c r="CK495" s="19"/>
      <c r="CL495" s="19"/>
      <c r="CM495" s="19"/>
      <c r="CN495" s="687"/>
      <c r="CO495" s="687"/>
      <c r="CP495" s="687"/>
      <c r="CQ495" s="687"/>
      <c r="CR495" s="687"/>
      <c r="CS495" s="687"/>
      <c r="CT495" s="14"/>
    </row>
    <row r="496" spans="1:98" s="4" customFormat="1" x14ac:dyDescent="0.3">
      <c r="A496" s="14"/>
      <c r="B496" s="292"/>
      <c r="C496" s="292"/>
      <c r="D496" s="14"/>
      <c r="E496" s="14"/>
      <c r="F496" s="703"/>
      <c r="G496" s="14"/>
      <c r="H496" s="14"/>
      <c r="I496" s="14"/>
      <c r="J496" s="14"/>
      <c r="K496" s="14"/>
      <c r="L496" s="14"/>
      <c r="M496" s="14"/>
      <c r="N496" s="703"/>
      <c r="O496" s="111"/>
      <c r="P496" s="703"/>
      <c r="Q496" s="14"/>
      <c r="R496" s="14"/>
      <c r="S496" s="14"/>
      <c r="T496" s="14"/>
      <c r="U496" s="14"/>
      <c r="V496" s="14"/>
      <c r="W496" s="14"/>
      <c r="X496" s="14"/>
      <c r="Y496" s="14"/>
      <c r="Z496" s="14"/>
      <c r="AA496" s="18"/>
      <c r="AB496" s="19"/>
      <c r="AC496" s="19"/>
      <c r="AD496" s="19"/>
      <c r="AE496" s="19"/>
      <c r="AF496" s="18"/>
      <c r="AG496" s="19"/>
      <c r="AH496" s="19"/>
      <c r="AI496" s="19"/>
      <c r="AJ496" s="19"/>
      <c r="AK496" s="18"/>
      <c r="AL496" s="19"/>
      <c r="AM496" s="19"/>
      <c r="AN496" s="19"/>
      <c r="AO496" s="19"/>
      <c r="AP496" s="18"/>
      <c r="AQ496" s="19"/>
      <c r="AR496" s="19"/>
      <c r="AS496" s="19"/>
      <c r="AT496" s="19"/>
      <c r="AU496" s="18"/>
      <c r="AV496" s="19"/>
      <c r="AW496" s="19"/>
      <c r="AX496" s="19"/>
      <c r="AY496" s="19"/>
      <c r="AZ496" s="18"/>
      <c r="BA496" s="19"/>
      <c r="BB496" s="19"/>
      <c r="BC496" s="19"/>
      <c r="BD496" s="19"/>
      <c r="BE496" s="18"/>
      <c r="BF496" s="19"/>
      <c r="BG496" s="19"/>
      <c r="BH496" s="19"/>
      <c r="BI496" s="19"/>
      <c r="BJ496" s="18"/>
      <c r="BK496" s="19"/>
      <c r="BL496" s="19"/>
      <c r="BM496" s="19"/>
      <c r="BN496" s="19"/>
      <c r="BO496" s="18"/>
      <c r="BP496" s="19"/>
      <c r="BQ496" s="19"/>
      <c r="BR496" s="19"/>
      <c r="BS496" s="19"/>
      <c r="BT496" s="18"/>
      <c r="BU496" s="19"/>
      <c r="BV496" s="19"/>
      <c r="BW496" s="19"/>
      <c r="BX496" s="19"/>
      <c r="BY496" s="18"/>
      <c r="BZ496" s="19"/>
      <c r="CA496" s="19"/>
      <c r="CB496" s="19"/>
      <c r="CC496" s="19"/>
      <c r="CD496" s="18"/>
      <c r="CE496" s="19"/>
      <c r="CF496" s="19"/>
      <c r="CG496" s="19"/>
      <c r="CH496" s="19"/>
      <c r="CI496" s="18"/>
      <c r="CJ496" s="19"/>
      <c r="CK496" s="19"/>
      <c r="CL496" s="19"/>
      <c r="CM496" s="19"/>
      <c r="CN496" s="687"/>
      <c r="CO496" s="687"/>
      <c r="CP496" s="687"/>
      <c r="CQ496" s="687"/>
      <c r="CR496" s="687"/>
      <c r="CS496" s="687"/>
      <c r="CT496" s="14"/>
    </row>
    <row r="497" spans="1:98" s="4" customFormat="1" x14ac:dyDescent="0.3">
      <c r="A497" s="14"/>
      <c r="B497" s="292"/>
      <c r="C497" s="292"/>
      <c r="D497" s="14"/>
      <c r="E497" s="14"/>
      <c r="F497" s="703"/>
      <c r="G497" s="14"/>
      <c r="H497" s="14"/>
      <c r="I497" s="14"/>
      <c r="J497" s="14"/>
      <c r="K497" s="14"/>
      <c r="L497" s="14"/>
      <c r="M497" s="14"/>
      <c r="N497" s="703"/>
      <c r="O497" s="111"/>
      <c r="P497" s="703"/>
      <c r="Q497" s="14"/>
      <c r="R497" s="14"/>
      <c r="S497" s="14"/>
      <c r="T497" s="14"/>
      <c r="U497" s="14"/>
      <c r="V497" s="14"/>
      <c r="W497" s="14"/>
      <c r="X497" s="14"/>
      <c r="Y497" s="14"/>
      <c r="Z497" s="14"/>
      <c r="AA497" s="18"/>
      <c r="AB497" s="19"/>
      <c r="AC497" s="19"/>
      <c r="AD497" s="19"/>
      <c r="AE497" s="19"/>
      <c r="AF497" s="18"/>
      <c r="AG497" s="19"/>
      <c r="AH497" s="19"/>
      <c r="AI497" s="19"/>
      <c r="AJ497" s="19"/>
      <c r="AK497" s="18"/>
      <c r="AL497" s="19"/>
      <c r="AM497" s="19"/>
      <c r="AN497" s="19"/>
      <c r="AO497" s="19"/>
      <c r="AP497" s="18"/>
      <c r="AQ497" s="19"/>
      <c r="AR497" s="19"/>
      <c r="AS497" s="19"/>
      <c r="AT497" s="19"/>
      <c r="AU497" s="18"/>
      <c r="AV497" s="19"/>
      <c r="AW497" s="19"/>
      <c r="AX497" s="19"/>
      <c r="AY497" s="19"/>
      <c r="AZ497" s="18"/>
      <c r="BA497" s="19"/>
      <c r="BB497" s="19"/>
      <c r="BC497" s="19"/>
      <c r="BD497" s="19"/>
      <c r="BE497" s="18"/>
      <c r="BF497" s="19"/>
      <c r="BG497" s="19"/>
      <c r="BH497" s="19"/>
      <c r="BI497" s="19"/>
      <c r="BJ497" s="18"/>
      <c r="BK497" s="19"/>
      <c r="BL497" s="19"/>
      <c r="BM497" s="19"/>
      <c r="BN497" s="19"/>
      <c r="BO497" s="18"/>
      <c r="BP497" s="19"/>
      <c r="BQ497" s="19"/>
      <c r="BR497" s="19"/>
      <c r="BS497" s="19"/>
      <c r="BT497" s="18"/>
      <c r="BU497" s="19"/>
      <c r="BV497" s="19"/>
      <c r="BW497" s="19"/>
      <c r="BX497" s="19"/>
      <c r="BY497" s="18"/>
      <c r="BZ497" s="19"/>
      <c r="CA497" s="19"/>
      <c r="CB497" s="19"/>
      <c r="CC497" s="19"/>
      <c r="CD497" s="18"/>
      <c r="CE497" s="19"/>
      <c r="CF497" s="19"/>
      <c r="CG497" s="19"/>
      <c r="CH497" s="19"/>
      <c r="CI497" s="18"/>
      <c r="CJ497" s="19"/>
      <c r="CK497" s="19"/>
      <c r="CL497" s="19"/>
      <c r="CM497" s="19"/>
      <c r="CN497" s="687"/>
      <c r="CO497" s="687"/>
      <c r="CP497" s="687"/>
      <c r="CQ497" s="687"/>
      <c r="CR497" s="687"/>
      <c r="CS497" s="687"/>
      <c r="CT497" s="14"/>
    </row>
    <row r="498" spans="1:98" s="4" customFormat="1" x14ac:dyDescent="0.3">
      <c r="A498" s="14"/>
      <c r="B498" s="292"/>
      <c r="C498" s="292"/>
      <c r="D498" s="14"/>
      <c r="E498" s="14"/>
      <c r="F498" s="703"/>
      <c r="G498" s="14"/>
      <c r="H498" s="14"/>
      <c r="I498" s="14"/>
      <c r="J498" s="14"/>
      <c r="K498" s="14"/>
      <c r="L498" s="14"/>
      <c r="M498" s="14"/>
      <c r="N498" s="703"/>
      <c r="O498" s="111"/>
      <c r="P498" s="703"/>
      <c r="Q498" s="14"/>
      <c r="R498" s="14"/>
      <c r="S498" s="14"/>
      <c r="T498" s="14"/>
      <c r="U498" s="14"/>
      <c r="V498" s="14"/>
      <c r="W498" s="14"/>
      <c r="X498" s="14"/>
      <c r="Y498" s="14"/>
      <c r="Z498" s="14"/>
      <c r="AA498" s="18"/>
      <c r="AB498" s="19"/>
      <c r="AC498" s="19"/>
      <c r="AD498" s="19"/>
      <c r="AE498" s="19"/>
      <c r="AF498" s="18"/>
      <c r="AG498" s="19"/>
      <c r="AH498" s="19"/>
      <c r="AI498" s="19"/>
      <c r="AJ498" s="19"/>
      <c r="AK498" s="18"/>
      <c r="AL498" s="19"/>
      <c r="AM498" s="19"/>
      <c r="AN498" s="19"/>
      <c r="AO498" s="19"/>
      <c r="AP498" s="18"/>
      <c r="AQ498" s="19"/>
      <c r="AR498" s="19"/>
      <c r="AS498" s="19"/>
      <c r="AT498" s="19"/>
      <c r="AU498" s="18"/>
      <c r="AV498" s="19"/>
      <c r="AW498" s="19"/>
      <c r="AX498" s="19"/>
      <c r="AY498" s="19"/>
      <c r="AZ498" s="18"/>
      <c r="BA498" s="19"/>
      <c r="BB498" s="19"/>
      <c r="BC498" s="19"/>
      <c r="BD498" s="19"/>
      <c r="BE498" s="18"/>
      <c r="BF498" s="19"/>
      <c r="BG498" s="19"/>
      <c r="BH498" s="19"/>
      <c r="BI498" s="19"/>
      <c r="BJ498" s="18"/>
      <c r="BK498" s="19"/>
      <c r="BL498" s="19"/>
      <c r="BM498" s="19"/>
      <c r="BN498" s="19"/>
      <c r="BO498" s="18"/>
      <c r="BP498" s="19"/>
      <c r="BQ498" s="19"/>
      <c r="BR498" s="19"/>
      <c r="BS498" s="19"/>
      <c r="BT498" s="18"/>
      <c r="BU498" s="19"/>
      <c r="BV498" s="19"/>
      <c r="BW498" s="19"/>
      <c r="BX498" s="19"/>
      <c r="BY498" s="18"/>
      <c r="BZ498" s="19"/>
      <c r="CA498" s="19"/>
      <c r="CB498" s="19"/>
      <c r="CC498" s="19"/>
      <c r="CD498" s="18"/>
      <c r="CE498" s="19"/>
      <c r="CF498" s="19"/>
      <c r="CG498" s="19"/>
      <c r="CH498" s="19"/>
      <c r="CI498" s="18"/>
      <c r="CJ498" s="19"/>
      <c r="CK498" s="19"/>
      <c r="CL498" s="19"/>
      <c r="CM498" s="19"/>
      <c r="CN498" s="687"/>
      <c r="CO498" s="687"/>
      <c r="CP498" s="687"/>
      <c r="CQ498" s="687"/>
      <c r="CR498" s="687"/>
      <c r="CS498" s="687"/>
      <c r="CT498" s="14"/>
    </row>
    <row r="499" spans="1:98" s="4" customFormat="1" x14ac:dyDescent="0.3">
      <c r="A499" s="14"/>
      <c r="B499" s="292"/>
      <c r="C499" s="292"/>
      <c r="D499" s="14"/>
      <c r="E499" s="14"/>
      <c r="F499" s="703"/>
      <c r="G499" s="14"/>
      <c r="H499" s="14"/>
      <c r="I499" s="14"/>
      <c r="J499" s="14"/>
      <c r="K499" s="14"/>
      <c r="L499" s="14"/>
      <c r="M499" s="14"/>
      <c r="N499" s="703"/>
      <c r="O499" s="111"/>
      <c r="P499" s="703"/>
      <c r="Q499" s="14"/>
      <c r="R499" s="14"/>
      <c r="S499" s="14"/>
      <c r="T499" s="14"/>
      <c r="U499" s="14"/>
      <c r="V499" s="14"/>
      <c r="W499" s="14"/>
      <c r="X499" s="14"/>
      <c r="Y499" s="14"/>
      <c r="Z499" s="14"/>
      <c r="AA499" s="18"/>
      <c r="AB499" s="19"/>
      <c r="AC499" s="19"/>
      <c r="AD499" s="19"/>
      <c r="AE499" s="19"/>
      <c r="AF499" s="18"/>
      <c r="AG499" s="19"/>
      <c r="AH499" s="19"/>
      <c r="AI499" s="19"/>
      <c r="AJ499" s="19"/>
      <c r="AK499" s="18"/>
      <c r="AL499" s="19"/>
      <c r="AM499" s="19"/>
      <c r="AN499" s="19"/>
      <c r="AO499" s="19"/>
      <c r="AP499" s="18"/>
      <c r="AQ499" s="19"/>
      <c r="AR499" s="19"/>
      <c r="AS499" s="19"/>
      <c r="AT499" s="19"/>
      <c r="AU499" s="18"/>
      <c r="AV499" s="19"/>
      <c r="AW499" s="19"/>
      <c r="AX499" s="19"/>
      <c r="AY499" s="19"/>
      <c r="AZ499" s="18"/>
      <c r="BA499" s="19"/>
      <c r="BB499" s="19"/>
      <c r="BC499" s="19"/>
      <c r="BD499" s="19"/>
      <c r="BE499" s="18"/>
      <c r="BF499" s="19"/>
      <c r="BG499" s="19"/>
      <c r="BH499" s="19"/>
      <c r="BI499" s="19"/>
      <c r="BJ499" s="18"/>
      <c r="BK499" s="19"/>
      <c r="BL499" s="19"/>
      <c r="BM499" s="19"/>
      <c r="BN499" s="19"/>
      <c r="BO499" s="18"/>
      <c r="BP499" s="19"/>
      <c r="BQ499" s="19"/>
      <c r="BR499" s="19"/>
      <c r="BS499" s="19"/>
      <c r="BT499" s="18"/>
      <c r="BU499" s="19"/>
      <c r="BV499" s="19"/>
      <c r="BW499" s="19"/>
      <c r="BX499" s="19"/>
      <c r="BY499" s="18"/>
      <c r="BZ499" s="19"/>
      <c r="CA499" s="19"/>
      <c r="CB499" s="19"/>
      <c r="CC499" s="19"/>
      <c r="CD499" s="18"/>
      <c r="CE499" s="19"/>
      <c r="CF499" s="19"/>
      <c r="CG499" s="19"/>
      <c r="CH499" s="19"/>
      <c r="CI499" s="18"/>
      <c r="CJ499" s="19"/>
      <c r="CK499" s="19"/>
      <c r="CL499" s="19"/>
      <c r="CM499" s="19"/>
      <c r="CN499" s="687"/>
      <c r="CO499" s="687"/>
      <c r="CP499" s="687"/>
      <c r="CQ499" s="687"/>
      <c r="CR499" s="687"/>
      <c r="CS499" s="687"/>
      <c r="CT499" s="14"/>
    </row>
    <row r="500" spans="1:98" s="4" customFormat="1" x14ac:dyDescent="0.3">
      <c r="A500" s="14"/>
      <c r="B500" s="292"/>
      <c r="C500" s="292"/>
      <c r="D500" s="14"/>
      <c r="E500" s="14"/>
      <c r="F500" s="703"/>
      <c r="G500" s="14"/>
      <c r="H500" s="14"/>
      <c r="I500" s="14"/>
      <c r="J500" s="14"/>
      <c r="K500" s="14"/>
      <c r="L500" s="14"/>
      <c r="M500" s="14"/>
      <c r="N500" s="703"/>
      <c r="O500" s="111"/>
      <c r="P500" s="703"/>
      <c r="Q500" s="14"/>
      <c r="R500" s="14"/>
      <c r="S500" s="14"/>
      <c r="T500" s="14"/>
      <c r="U500" s="14"/>
      <c r="V500" s="14"/>
      <c r="W500" s="14"/>
      <c r="X500" s="14"/>
      <c r="Y500" s="14"/>
      <c r="Z500" s="14"/>
      <c r="AA500" s="18"/>
      <c r="AB500" s="19"/>
      <c r="AC500" s="19"/>
      <c r="AD500" s="19"/>
      <c r="AE500" s="19"/>
      <c r="AF500" s="18"/>
      <c r="AG500" s="19"/>
      <c r="AH500" s="19"/>
      <c r="AI500" s="19"/>
      <c r="AJ500" s="19"/>
      <c r="AK500" s="18"/>
      <c r="AL500" s="19"/>
      <c r="AM500" s="19"/>
      <c r="AN500" s="19"/>
      <c r="AO500" s="19"/>
      <c r="AP500" s="18"/>
      <c r="AQ500" s="19"/>
      <c r="AR500" s="19"/>
      <c r="AS500" s="19"/>
      <c r="AT500" s="19"/>
      <c r="AU500" s="18"/>
      <c r="AV500" s="19"/>
      <c r="AW500" s="19"/>
      <c r="AX500" s="19"/>
      <c r="AY500" s="19"/>
      <c r="AZ500" s="18"/>
      <c r="BA500" s="19"/>
      <c r="BB500" s="19"/>
      <c r="BC500" s="19"/>
      <c r="BD500" s="19"/>
      <c r="BE500" s="18"/>
      <c r="BF500" s="19"/>
      <c r="BG500" s="19"/>
      <c r="BH500" s="19"/>
      <c r="BI500" s="19"/>
      <c r="BJ500" s="18"/>
      <c r="BK500" s="19"/>
      <c r="BL500" s="19"/>
      <c r="BM500" s="19"/>
      <c r="BN500" s="19"/>
      <c r="BO500" s="18"/>
      <c r="BP500" s="19"/>
      <c r="BQ500" s="19"/>
      <c r="BR500" s="19"/>
      <c r="BS500" s="19"/>
      <c r="BT500" s="18"/>
      <c r="BU500" s="19"/>
      <c r="BV500" s="19"/>
      <c r="BW500" s="19"/>
      <c r="BX500" s="19"/>
      <c r="BY500" s="18"/>
      <c r="BZ500" s="19"/>
      <c r="CA500" s="19"/>
      <c r="CB500" s="19"/>
      <c r="CC500" s="19"/>
      <c r="CD500" s="18"/>
      <c r="CE500" s="19"/>
      <c r="CF500" s="19"/>
      <c r="CG500" s="19"/>
      <c r="CH500" s="19"/>
      <c r="CI500" s="18"/>
      <c r="CJ500" s="19"/>
      <c r="CK500" s="19"/>
      <c r="CL500" s="19"/>
      <c r="CM500" s="19"/>
      <c r="CN500" s="687"/>
      <c r="CO500" s="687"/>
      <c r="CP500" s="687"/>
      <c r="CQ500" s="687"/>
      <c r="CR500" s="687"/>
      <c r="CS500" s="687"/>
      <c r="CT500" s="14"/>
    </row>
    <row r="501" spans="1:98" s="4" customFormat="1" x14ac:dyDescent="0.3">
      <c r="A501" s="14"/>
      <c r="B501" s="292"/>
      <c r="C501" s="292"/>
      <c r="D501" s="14"/>
      <c r="E501" s="14"/>
      <c r="F501" s="703"/>
      <c r="G501" s="14"/>
      <c r="H501" s="14"/>
      <c r="I501" s="14"/>
      <c r="J501" s="14"/>
      <c r="K501" s="14"/>
      <c r="L501" s="14"/>
      <c r="M501" s="14"/>
      <c r="N501" s="703"/>
      <c r="O501" s="111"/>
      <c r="P501" s="703"/>
      <c r="Q501" s="14"/>
      <c r="R501" s="14"/>
      <c r="S501" s="14"/>
      <c r="T501" s="14"/>
      <c r="U501" s="14"/>
      <c r="V501" s="14"/>
      <c r="W501" s="14"/>
      <c r="X501" s="14"/>
      <c r="Y501" s="14"/>
      <c r="Z501" s="14"/>
      <c r="AA501" s="18"/>
      <c r="AB501" s="19"/>
      <c r="AC501" s="19"/>
      <c r="AD501" s="19"/>
      <c r="AE501" s="19"/>
      <c r="AF501" s="18"/>
      <c r="AG501" s="19"/>
      <c r="AH501" s="19"/>
      <c r="AI501" s="19"/>
      <c r="AJ501" s="19"/>
      <c r="AK501" s="18"/>
      <c r="AL501" s="19"/>
      <c r="AM501" s="19"/>
      <c r="AN501" s="19"/>
      <c r="AO501" s="19"/>
      <c r="AP501" s="18"/>
      <c r="AQ501" s="19"/>
      <c r="AR501" s="19"/>
      <c r="AS501" s="19"/>
      <c r="AT501" s="19"/>
      <c r="AU501" s="18"/>
      <c r="AV501" s="19"/>
      <c r="AW501" s="19"/>
      <c r="AX501" s="19"/>
      <c r="AY501" s="19"/>
      <c r="AZ501" s="18"/>
      <c r="BA501" s="19"/>
      <c r="BB501" s="19"/>
      <c r="BC501" s="19"/>
      <c r="BD501" s="19"/>
      <c r="BE501" s="18"/>
      <c r="BF501" s="19"/>
      <c r="BG501" s="19"/>
      <c r="BH501" s="19"/>
      <c r="BI501" s="19"/>
      <c r="BJ501" s="18"/>
      <c r="BK501" s="19"/>
      <c r="BL501" s="19"/>
      <c r="BM501" s="19"/>
      <c r="BN501" s="19"/>
      <c r="BO501" s="18"/>
      <c r="BP501" s="19"/>
      <c r="BQ501" s="19"/>
      <c r="BR501" s="19"/>
      <c r="BS501" s="19"/>
      <c r="BT501" s="18"/>
      <c r="BU501" s="19"/>
      <c r="BV501" s="19"/>
      <c r="BW501" s="19"/>
      <c r="BX501" s="19"/>
      <c r="BY501" s="18"/>
      <c r="BZ501" s="19"/>
      <c r="CA501" s="19"/>
      <c r="CB501" s="19"/>
      <c r="CC501" s="19"/>
      <c r="CD501" s="18"/>
      <c r="CE501" s="19"/>
      <c r="CF501" s="19"/>
      <c r="CG501" s="19"/>
      <c r="CH501" s="19"/>
      <c r="CI501" s="18"/>
      <c r="CJ501" s="19"/>
      <c r="CK501" s="19"/>
      <c r="CL501" s="19"/>
      <c r="CM501" s="19"/>
      <c r="CN501" s="687"/>
      <c r="CO501" s="687"/>
      <c r="CP501" s="687"/>
      <c r="CQ501" s="687"/>
      <c r="CR501" s="687"/>
      <c r="CS501" s="687"/>
      <c r="CT501" s="14"/>
    </row>
    <row r="502" spans="1:98" s="4" customFormat="1" x14ac:dyDescent="0.3">
      <c r="A502" s="14"/>
      <c r="B502" s="292"/>
      <c r="C502" s="292"/>
      <c r="D502" s="14"/>
      <c r="E502" s="14"/>
      <c r="F502" s="703"/>
      <c r="G502" s="14"/>
      <c r="H502" s="14"/>
      <c r="I502" s="14"/>
      <c r="J502" s="14"/>
      <c r="K502" s="14"/>
      <c r="L502" s="14"/>
      <c r="M502" s="14"/>
      <c r="N502" s="703"/>
      <c r="O502" s="111"/>
      <c r="P502" s="703"/>
      <c r="Q502" s="14"/>
      <c r="R502" s="14"/>
      <c r="S502" s="14"/>
      <c r="T502" s="14"/>
      <c r="U502" s="14"/>
      <c r="V502" s="14"/>
      <c r="W502" s="14"/>
      <c r="X502" s="14"/>
      <c r="Y502" s="14"/>
      <c r="Z502" s="14"/>
      <c r="AA502" s="18"/>
      <c r="AB502" s="19"/>
      <c r="AC502" s="19"/>
      <c r="AD502" s="19"/>
      <c r="AE502" s="19"/>
      <c r="AF502" s="18"/>
      <c r="AG502" s="19"/>
      <c r="AH502" s="19"/>
      <c r="AI502" s="19"/>
      <c r="AJ502" s="19"/>
      <c r="AK502" s="18"/>
      <c r="AL502" s="19"/>
      <c r="AM502" s="19"/>
      <c r="AN502" s="19"/>
      <c r="AO502" s="19"/>
      <c r="AP502" s="18"/>
      <c r="AQ502" s="19"/>
      <c r="AR502" s="19"/>
      <c r="AS502" s="19"/>
      <c r="AT502" s="19"/>
      <c r="AU502" s="18"/>
      <c r="AV502" s="19"/>
      <c r="AW502" s="19"/>
      <c r="AX502" s="19"/>
      <c r="AY502" s="19"/>
      <c r="AZ502" s="18"/>
      <c r="BA502" s="19"/>
      <c r="BB502" s="19"/>
      <c r="BC502" s="19"/>
      <c r="BD502" s="19"/>
      <c r="BE502" s="18"/>
      <c r="BF502" s="19"/>
      <c r="BG502" s="19"/>
      <c r="BH502" s="19"/>
      <c r="BI502" s="19"/>
      <c r="BJ502" s="18"/>
      <c r="BK502" s="19"/>
      <c r="BL502" s="19"/>
      <c r="BM502" s="19"/>
      <c r="BN502" s="19"/>
      <c r="BO502" s="18"/>
      <c r="BP502" s="19"/>
      <c r="BQ502" s="19"/>
      <c r="BR502" s="19"/>
      <c r="BS502" s="19"/>
      <c r="BT502" s="18"/>
      <c r="BU502" s="19"/>
      <c r="BV502" s="19"/>
      <c r="BW502" s="19"/>
      <c r="BX502" s="19"/>
      <c r="BY502" s="18"/>
      <c r="BZ502" s="19"/>
      <c r="CA502" s="19"/>
      <c r="CB502" s="19"/>
      <c r="CC502" s="19"/>
      <c r="CD502" s="18"/>
      <c r="CE502" s="19"/>
      <c r="CF502" s="19"/>
      <c r="CG502" s="19"/>
      <c r="CH502" s="19"/>
      <c r="CI502" s="18"/>
      <c r="CJ502" s="19"/>
      <c r="CK502" s="19"/>
      <c r="CL502" s="19"/>
      <c r="CM502" s="19"/>
      <c r="CN502" s="687"/>
      <c r="CO502" s="687"/>
      <c r="CP502" s="687"/>
      <c r="CQ502" s="687"/>
      <c r="CR502" s="687"/>
      <c r="CS502" s="687"/>
      <c r="CT502" s="14"/>
    </row>
    <row r="503" spans="1:98" s="4" customFormat="1" x14ac:dyDescent="0.3">
      <c r="A503" s="14"/>
      <c r="B503" s="292"/>
      <c r="C503" s="292"/>
      <c r="D503" s="14"/>
      <c r="E503" s="14"/>
      <c r="F503" s="703"/>
      <c r="G503" s="14"/>
      <c r="H503" s="14"/>
      <c r="I503" s="14"/>
      <c r="J503" s="14"/>
      <c r="K503" s="14"/>
      <c r="L503" s="14"/>
      <c r="M503" s="14"/>
      <c r="N503" s="703"/>
      <c r="O503" s="111"/>
      <c r="P503" s="703"/>
      <c r="Q503" s="14"/>
      <c r="R503" s="14"/>
      <c r="S503" s="14"/>
      <c r="T503" s="14"/>
      <c r="U503" s="14"/>
      <c r="V503" s="14"/>
      <c r="W503" s="14"/>
      <c r="X503" s="14"/>
      <c r="Y503" s="14"/>
      <c r="Z503" s="14"/>
      <c r="AA503" s="18"/>
      <c r="AB503" s="19"/>
      <c r="AC503" s="19"/>
      <c r="AD503" s="19"/>
      <c r="AE503" s="19"/>
      <c r="AF503" s="18"/>
      <c r="AG503" s="19"/>
      <c r="AH503" s="19"/>
      <c r="AI503" s="19"/>
      <c r="AJ503" s="19"/>
      <c r="AK503" s="18"/>
      <c r="AL503" s="19"/>
      <c r="AM503" s="19"/>
      <c r="AN503" s="19"/>
      <c r="AO503" s="19"/>
      <c r="AP503" s="18"/>
      <c r="AQ503" s="19"/>
      <c r="AR503" s="19"/>
      <c r="AS503" s="19"/>
      <c r="AT503" s="19"/>
      <c r="AU503" s="18"/>
      <c r="AV503" s="19"/>
      <c r="AW503" s="19"/>
      <c r="AX503" s="19"/>
      <c r="AY503" s="19"/>
      <c r="AZ503" s="18"/>
      <c r="BA503" s="19"/>
      <c r="BB503" s="19"/>
      <c r="BC503" s="19"/>
      <c r="BD503" s="19"/>
      <c r="BE503" s="18"/>
      <c r="BF503" s="19"/>
      <c r="BG503" s="19"/>
      <c r="BH503" s="19"/>
      <c r="BI503" s="19"/>
      <c r="BJ503" s="18"/>
      <c r="BK503" s="19"/>
      <c r="BL503" s="19"/>
      <c r="BM503" s="19"/>
      <c r="BN503" s="19"/>
      <c r="BO503" s="18"/>
      <c r="BP503" s="19"/>
      <c r="BQ503" s="19"/>
      <c r="BR503" s="19"/>
      <c r="BS503" s="19"/>
      <c r="BT503" s="18"/>
      <c r="BU503" s="19"/>
      <c r="BV503" s="19"/>
      <c r="BW503" s="19"/>
      <c r="BX503" s="19"/>
      <c r="BY503" s="18"/>
      <c r="BZ503" s="19"/>
      <c r="CA503" s="19"/>
      <c r="CB503" s="19"/>
      <c r="CC503" s="19"/>
      <c r="CD503" s="18"/>
      <c r="CE503" s="19"/>
      <c r="CF503" s="19"/>
      <c r="CG503" s="19"/>
      <c r="CH503" s="19"/>
      <c r="CI503" s="18"/>
      <c r="CJ503" s="19"/>
      <c r="CK503" s="19"/>
      <c r="CL503" s="19"/>
      <c r="CM503" s="19"/>
      <c r="CN503" s="687"/>
      <c r="CO503" s="687"/>
      <c r="CP503" s="687"/>
      <c r="CQ503" s="687"/>
      <c r="CR503" s="687"/>
      <c r="CS503" s="687"/>
      <c r="CT503" s="14"/>
    </row>
    <row r="504" spans="1:98" s="4" customFormat="1" x14ac:dyDescent="0.3">
      <c r="A504" s="14"/>
      <c r="B504" s="292"/>
      <c r="C504" s="292"/>
      <c r="D504" s="14"/>
      <c r="E504" s="14"/>
      <c r="F504" s="703"/>
      <c r="G504" s="14"/>
      <c r="H504" s="14"/>
      <c r="I504" s="14"/>
      <c r="J504" s="14"/>
      <c r="K504" s="14"/>
      <c r="L504" s="14"/>
      <c r="M504" s="14"/>
      <c r="N504" s="703"/>
      <c r="O504" s="111"/>
      <c r="P504" s="703"/>
      <c r="Q504" s="14"/>
      <c r="R504" s="14"/>
      <c r="S504" s="14"/>
      <c r="T504" s="14"/>
      <c r="U504" s="14"/>
      <c r="V504" s="14"/>
      <c r="W504" s="14"/>
      <c r="X504" s="14"/>
      <c r="Y504" s="14"/>
      <c r="Z504" s="14"/>
      <c r="AA504" s="18"/>
      <c r="AB504" s="19"/>
      <c r="AC504" s="19"/>
      <c r="AD504" s="19"/>
      <c r="AE504" s="19"/>
      <c r="AF504" s="18"/>
      <c r="AG504" s="19"/>
      <c r="AH504" s="19"/>
      <c r="AI504" s="19"/>
      <c r="AJ504" s="19"/>
      <c r="AK504" s="18"/>
      <c r="AL504" s="19"/>
      <c r="AM504" s="19"/>
      <c r="AN504" s="19"/>
      <c r="AO504" s="19"/>
      <c r="AP504" s="18"/>
      <c r="AQ504" s="19"/>
      <c r="AR504" s="19"/>
      <c r="AS504" s="19"/>
      <c r="AT504" s="19"/>
      <c r="AU504" s="18"/>
      <c r="AV504" s="19"/>
      <c r="AW504" s="19"/>
      <c r="AX504" s="19"/>
      <c r="AY504" s="19"/>
      <c r="AZ504" s="18"/>
      <c r="BA504" s="19"/>
      <c r="BB504" s="19"/>
      <c r="BC504" s="19"/>
      <c r="BD504" s="19"/>
      <c r="BE504" s="18"/>
      <c r="BF504" s="19"/>
      <c r="BG504" s="19"/>
      <c r="BH504" s="19"/>
      <c r="BI504" s="19"/>
      <c r="BJ504" s="18"/>
      <c r="BK504" s="19"/>
      <c r="BL504" s="19"/>
      <c r="BM504" s="19"/>
      <c r="BN504" s="19"/>
      <c r="BO504" s="18"/>
      <c r="BP504" s="19"/>
      <c r="BQ504" s="19"/>
      <c r="BR504" s="19"/>
      <c r="BS504" s="19"/>
      <c r="BT504" s="18"/>
      <c r="BU504" s="19"/>
      <c r="BV504" s="19"/>
      <c r="BW504" s="19"/>
      <c r="BX504" s="19"/>
      <c r="BY504" s="18"/>
      <c r="BZ504" s="19"/>
      <c r="CA504" s="19"/>
      <c r="CB504" s="19"/>
      <c r="CC504" s="19"/>
      <c r="CD504" s="18"/>
      <c r="CE504" s="19"/>
      <c r="CF504" s="19"/>
      <c r="CG504" s="19"/>
      <c r="CH504" s="19"/>
      <c r="CI504" s="18"/>
      <c r="CJ504" s="19"/>
      <c r="CK504" s="19"/>
      <c r="CL504" s="19"/>
      <c r="CM504" s="19"/>
      <c r="CN504" s="687"/>
      <c r="CO504" s="687"/>
      <c r="CP504" s="687"/>
      <c r="CQ504" s="687"/>
      <c r="CR504" s="687"/>
      <c r="CS504" s="687"/>
      <c r="CT504" s="14"/>
    </row>
    <row r="505" spans="1:98" s="4" customFormat="1" x14ac:dyDescent="0.3">
      <c r="A505" s="14"/>
      <c r="B505" s="292"/>
      <c r="C505" s="292"/>
      <c r="D505" s="14"/>
      <c r="E505" s="14"/>
      <c r="F505" s="703"/>
      <c r="G505" s="14"/>
      <c r="H505" s="14"/>
      <c r="I505" s="14"/>
      <c r="J505" s="14"/>
      <c r="K505" s="14"/>
      <c r="L505" s="14"/>
      <c r="M505" s="14"/>
      <c r="N505" s="703"/>
      <c r="O505" s="111"/>
      <c r="P505" s="703"/>
      <c r="Q505" s="14"/>
      <c r="R505" s="14"/>
      <c r="S505" s="14"/>
      <c r="T505" s="14"/>
      <c r="U505" s="14"/>
      <c r="V505" s="14"/>
      <c r="W505" s="14"/>
      <c r="X505" s="14"/>
      <c r="Y505" s="14"/>
      <c r="Z505" s="14"/>
      <c r="AA505" s="18"/>
      <c r="AB505" s="19"/>
      <c r="AC505" s="19"/>
      <c r="AD505" s="19"/>
      <c r="AE505" s="19"/>
      <c r="AF505" s="18"/>
      <c r="AG505" s="19"/>
      <c r="AH505" s="19"/>
      <c r="AI505" s="19"/>
      <c r="AJ505" s="19"/>
      <c r="AK505" s="18"/>
      <c r="AL505" s="19"/>
      <c r="AM505" s="19"/>
      <c r="AN505" s="19"/>
      <c r="AO505" s="19"/>
      <c r="AP505" s="18"/>
      <c r="AQ505" s="19"/>
      <c r="AR505" s="19"/>
      <c r="AS505" s="19"/>
      <c r="AT505" s="19"/>
      <c r="AU505" s="18"/>
      <c r="AV505" s="19"/>
      <c r="AW505" s="19"/>
      <c r="AX505" s="19"/>
      <c r="AY505" s="19"/>
      <c r="AZ505" s="18"/>
      <c r="BA505" s="19"/>
      <c r="BB505" s="19"/>
      <c r="BC505" s="19"/>
      <c r="BD505" s="19"/>
      <c r="BE505" s="18"/>
      <c r="BF505" s="19"/>
      <c r="BG505" s="19"/>
      <c r="BH505" s="19"/>
      <c r="BI505" s="19"/>
      <c r="BJ505" s="18"/>
      <c r="BK505" s="19"/>
      <c r="BL505" s="19"/>
      <c r="BM505" s="19"/>
      <c r="BN505" s="19"/>
      <c r="BO505" s="18"/>
      <c r="BP505" s="19"/>
      <c r="BQ505" s="19"/>
      <c r="BR505" s="19"/>
      <c r="BS505" s="19"/>
      <c r="BT505" s="18"/>
      <c r="BU505" s="19"/>
      <c r="BV505" s="19"/>
      <c r="BW505" s="19"/>
      <c r="BX505" s="19"/>
      <c r="BY505" s="18"/>
      <c r="BZ505" s="19"/>
      <c r="CA505" s="19"/>
      <c r="CB505" s="19"/>
      <c r="CC505" s="19"/>
      <c r="CD505" s="18"/>
      <c r="CE505" s="19"/>
      <c r="CF505" s="19"/>
      <c r="CG505" s="19"/>
      <c r="CH505" s="19"/>
      <c r="CI505" s="18"/>
      <c r="CJ505" s="19"/>
      <c r="CK505" s="19"/>
      <c r="CL505" s="19"/>
      <c r="CM505" s="19"/>
      <c r="CN505" s="687"/>
      <c r="CO505" s="687"/>
      <c r="CP505" s="687"/>
      <c r="CQ505" s="687"/>
      <c r="CR505" s="687"/>
      <c r="CS505" s="687"/>
      <c r="CT505" s="14"/>
    </row>
    <row r="506" spans="1:98" s="4" customFormat="1" x14ac:dyDescent="0.3">
      <c r="A506" s="14"/>
      <c r="B506" s="292"/>
      <c r="C506" s="292"/>
      <c r="D506" s="14"/>
      <c r="E506" s="14"/>
      <c r="F506" s="703"/>
      <c r="G506" s="14"/>
      <c r="H506" s="14"/>
      <c r="I506" s="14"/>
      <c r="J506" s="14"/>
      <c r="K506" s="14"/>
      <c r="L506" s="14"/>
      <c r="M506" s="14"/>
      <c r="N506" s="703"/>
      <c r="O506" s="111"/>
      <c r="P506" s="703"/>
      <c r="Q506" s="14"/>
      <c r="R506" s="14"/>
      <c r="S506" s="14"/>
      <c r="T506" s="14"/>
      <c r="U506" s="14"/>
      <c r="V506" s="14"/>
      <c r="W506" s="14"/>
      <c r="X506" s="14"/>
      <c r="Y506" s="14"/>
      <c r="Z506" s="14"/>
      <c r="AA506" s="18"/>
      <c r="AB506" s="19"/>
      <c r="AC506" s="19"/>
      <c r="AD506" s="19"/>
      <c r="AE506" s="19"/>
      <c r="AF506" s="18"/>
      <c r="AG506" s="19"/>
      <c r="AH506" s="19"/>
      <c r="AI506" s="19"/>
      <c r="AJ506" s="19"/>
      <c r="AK506" s="18"/>
      <c r="AL506" s="19"/>
      <c r="AM506" s="19"/>
      <c r="AN506" s="19"/>
      <c r="AO506" s="19"/>
      <c r="AP506" s="18"/>
      <c r="AQ506" s="19"/>
      <c r="AR506" s="19"/>
      <c r="AS506" s="19"/>
      <c r="AT506" s="19"/>
      <c r="AU506" s="18"/>
      <c r="AV506" s="19"/>
      <c r="AW506" s="19"/>
      <c r="AX506" s="19"/>
      <c r="AY506" s="19"/>
      <c r="AZ506" s="18"/>
      <c r="BA506" s="19"/>
      <c r="BB506" s="19"/>
      <c r="BC506" s="19"/>
      <c r="BD506" s="19"/>
      <c r="BE506" s="18"/>
      <c r="BF506" s="19"/>
      <c r="BG506" s="19"/>
      <c r="BH506" s="19"/>
      <c r="BI506" s="19"/>
      <c r="BJ506" s="18"/>
      <c r="BK506" s="19"/>
      <c r="BL506" s="19"/>
      <c r="BM506" s="19"/>
      <c r="BN506" s="19"/>
      <c r="BO506" s="18"/>
      <c r="BP506" s="19"/>
      <c r="BQ506" s="19"/>
      <c r="BR506" s="19"/>
      <c r="BS506" s="19"/>
      <c r="BT506" s="18"/>
      <c r="BU506" s="19"/>
      <c r="BV506" s="19"/>
      <c r="BW506" s="19"/>
      <c r="BX506" s="19"/>
      <c r="BY506" s="18"/>
      <c r="BZ506" s="19"/>
      <c r="CA506" s="19"/>
      <c r="CB506" s="19"/>
      <c r="CC506" s="19"/>
      <c r="CD506" s="18"/>
      <c r="CE506" s="19"/>
      <c r="CF506" s="19"/>
      <c r="CG506" s="19"/>
      <c r="CH506" s="19"/>
      <c r="CI506" s="18"/>
      <c r="CJ506" s="19"/>
      <c r="CK506" s="19"/>
      <c r="CL506" s="19"/>
      <c r="CM506" s="19"/>
      <c r="CN506" s="687"/>
      <c r="CO506" s="687"/>
      <c r="CP506" s="687"/>
      <c r="CQ506" s="687"/>
      <c r="CR506" s="687"/>
      <c r="CS506" s="687"/>
      <c r="CT506" s="14"/>
    </row>
    <row r="507" spans="1:98" s="4" customFormat="1" x14ac:dyDescent="0.3">
      <c r="A507" s="14"/>
      <c r="B507" s="292"/>
      <c r="C507" s="292"/>
      <c r="D507" s="14"/>
      <c r="E507" s="14"/>
      <c r="F507" s="703"/>
      <c r="G507" s="14"/>
      <c r="H507" s="14"/>
      <c r="I507" s="14"/>
      <c r="J507" s="14"/>
      <c r="K507" s="14"/>
      <c r="L507" s="14"/>
      <c r="M507" s="14"/>
      <c r="N507" s="703"/>
      <c r="O507" s="111"/>
      <c r="P507" s="703"/>
      <c r="Q507" s="14"/>
      <c r="R507" s="14"/>
      <c r="S507" s="14"/>
      <c r="T507" s="14"/>
      <c r="U507" s="14"/>
      <c r="V507" s="14"/>
      <c r="W507" s="14"/>
      <c r="X507" s="14"/>
      <c r="Y507" s="14"/>
      <c r="Z507" s="14"/>
      <c r="AA507" s="18"/>
      <c r="AB507" s="19"/>
      <c r="AC507" s="19"/>
      <c r="AD507" s="19"/>
      <c r="AE507" s="19"/>
      <c r="AF507" s="18"/>
      <c r="AG507" s="19"/>
      <c r="AH507" s="19"/>
      <c r="AI507" s="19"/>
      <c r="AJ507" s="19"/>
      <c r="AK507" s="18"/>
      <c r="AL507" s="19"/>
      <c r="AM507" s="19"/>
      <c r="AN507" s="19"/>
      <c r="AO507" s="19"/>
      <c r="AP507" s="18"/>
      <c r="AQ507" s="19"/>
      <c r="AR507" s="19"/>
      <c r="AS507" s="19"/>
      <c r="AT507" s="19"/>
      <c r="AU507" s="18"/>
      <c r="AV507" s="19"/>
      <c r="AW507" s="19"/>
      <c r="AX507" s="19"/>
      <c r="AY507" s="19"/>
      <c r="AZ507" s="18"/>
      <c r="BA507" s="19"/>
      <c r="BB507" s="19"/>
      <c r="BC507" s="19"/>
      <c r="BD507" s="19"/>
      <c r="BE507" s="18"/>
      <c r="BF507" s="19"/>
      <c r="BG507" s="19"/>
      <c r="BH507" s="19"/>
      <c r="BI507" s="19"/>
      <c r="BJ507" s="18"/>
      <c r="BK507" s="19"/>
      <c r="BL507" s="19"/>
      <c r="BM507" s="19"/>
      <c r="BN507" s="19"/>
      <c r="BO507" s="18"/>
      <c r="BP507" s="19"/>
      <c r="BQ507" s="19"/>
      <c r="BR507" s="19"/>
      <c r="BS507" s="19"/>
      <c r="BT507" s="18"/>
      <c r="BU507" s="19"/>
      <c r="BV507" s="19"/>
      <c r="BW507" s="19"/>
      <c r="BX507" s="19"/>
      <c r="BY507" s="18"/>
      <c r="BZ507" s="19"/>
      <c r="CA507" s="19"/>
      <c r="CB507" s="19"/>
      <c r="CC507" s="19"/>
      <c r="CD507" s="18"/>
      <c r="CE507" s="19"/>
      <c r="CF507" s="19"/>
      <c r="CG507" s="19"/>
      <c r="CH507" s="19"/>
      <c r="CI507" s="18"/>
      <c r="CJ507" s="19"/>
      <c r="CK507" s="19"/>
      <c r="CL507" s="19"/>
      <c r="CM507" s="19"/>
      <c r="CN507" s="687"/>
      <c r="CO507" s="687"/>
      <c r="CP507" s="687"/>
      <c r="CQ507" s="687"/>
      <c r="CR507" s="687"/>
      <c r="CS507" s="687"/>
      <c r="CT507" s="14"/>
    </row>
    <row r="508" spans="1:98" s="4" customFormat="1" x14ac:dyDescent="0.3">
      <c r="A508" s="14"/>
      <c r="B508" s="292"/>
      <c r="C508" s="292"/>
      <c r="D508" s="14"/>
      <c r="E508" s="14"/>
      <c r="F508" s="703"/>
      <c r="G508" s="14"/>
      <c r="H508" s="14"/>
      <c r="I508" s="14"/>
      <c r="J508" s="14"/>
      <c r="K508" s="14"/>
      <c r="L508" s="14"/>
      <c r="M508" s="14"/>
      <c r="N508" s="703"/>
      <c r="O508" s="111"/>
      <c r="P508" s="703"/>
      <c r="Q508" s="14"/>
      <c r="R508" s="14"/>
      <c r="S508" s="14"/>
      <c r="T508" s="14"/>
      <c r="U508" s="14"/>
      <c r="V508" s="14"/>
      <c r="W508" s="14"/>
      <c r="X508" s="14"/>
      <c r="Y508" s="14"/>
      <c r="Z508" s="14"/>
      <c r="AA508" s="18"/>
      <c r="AB508" s="19"/>
      <c r="AC508" s="19"/>
      <c r="AD508" s="19"/>
      <c r="AE508" s="19"/>
      <c r="AF508" s="18"/>
      <c r="AG508" s="19"/>
      <c r="AH508" s="19"/>
      <c r="AI508" s="19"/>
      <c r="AJ508" s="19"/>
      <c r="AK508" s="18"/>
      <c r="AL508" s="19"/>
      <c r="AM508" s="19"/>
      <c r="AN508" s="19"/>
      <c r="AO508" s="19"/>
      <c r="AP508" s="18"/>
      <c r="AQ508" s="19"/>
      <c r="AR508" s="19"/>
      <c r="AS508" s="19"/>
      <c r="AT508" s="19"/>
      <c r="AU508" s="18"/>
      <c r="AV508" s="19"/>
      <c r="AW508" s="19"/>
      <c r="AX508" s="19"/>
      <c r="AY508" s="19"/>
      <c r="AZ508" s="18"/>
      <c r="BA508" s="19"/>
      <c r="BB508" s="19"/>
      <c r="BC508" s="19"/>
      <c r="BD508" s="19"/>
      <c r="BE508" s="18"/>
      <c r="BF508" s="19"/>
      <c r="BG508" s="19"/>
      <c r="BH508" s="19"/>
      <c r="BI508" s="19"/>
      <c r="BJ508" s="18"/>
      <c r="BK508" s="19"/>
      <c r="BL508" s="19"/>
      <c r="BM508" s="19"/>
      <c r="BN508" s="19"/>
      <c r="BO508" s="18"/>
      <c r="BP508" s="19"/>
      <c r="BQ508" s="19"/>
      <c r="BR508" s="19"/>
      <c r="BS508" s="19"/>
      <c r="BT508" s="18"/>
      <c r="BU508" s="19"/>
      <c r="BV508" s="19"/>
      <c r="BW508" s="19"/>
      <c r="BX508" s="19"/>
      <c r="BY508" s="18"/>
      <c r="BZ508" s="19"/>
      <c r="CA508" s="19"/>
      <c r="CB508" s="19"/>
      <c r="CC508" s="19"/>
      <c r="CD508" s="18"/>
      <c r="CE508" s="19"/>
      <c r="CF508" s="19"/>
      <c r="CG508" s="19"/>
      <c r="CH508" s="19"/>
      <c r="CI508" s="18"/>
      <c r="CJ508" s="19"/>
      <c r="CK508" s="19"/>
      <c r="CL508" s="19"/>
      <c r="CM508" s="19"/>
      <c r="CN508" s="687"/>
      <c r="CO508" s="687"/>
      <c r="CP508" s="687"/>
      <c r="CQ508" s="687"/>
      <c r="CR508" s="687"/>
      <c r="CS508" s="687"/>
      <c r="CT508" s="14"/>
    </row>
    <row r="509" spans="1:98" s="4" customFormat="1" x14ac:dyDescent="0.3">
      <c r="A509" s="14"/>
      <c r="B509" s="292"/>
      <c r="C509" s="292"/>
      <c r="D509" s="14"/>
      <c r="E509" s="14"/>
      <c r="F509" s="703"/>
      <c r="G509" s="14"/>
      <c r="H509" s="14"/>
      <c r="I509" s="14"/>
      <c r="J509" s="14"/>
      <c r="K509" s="14"/>
      <c r="L509" s="14"/>
      <c r="M509" s="14"/>
      <c r="N509" s="703"/>
      <c r="O509" s="111"/>
      <c r="P509" s="703"/>
      <c r="Q509" s="14"/>
      <c r="R509" s="14"/>
      <c r="S509" s="14"/>
      <c r="T509" s="14"/>
      <c r="U509" s="14"/>
      <c r="V509" s="14"/>
      <c r="W509" s="14"/>
      <c r="X509" s="14"/>
      <c r="Y509" s="14"/>
      <c r="Z509" s="14"/>
      <c r="AA509" s="18"/>
      <c r="AB509" s="19"/>
      <c r="AC509" s="19"/>
      <c r="AD509" s="19"/>
      <c r="AE509" s="19"/>
      <c r="AF509" s="18"/>
      <c r="AG509" s="19"/>
      <c r="AH509" s="19"/>
      <c r="AI509" s="19"/>
      <c r="AJ509" s="19"/>
      <c r="AK509" s="18"/>
      <c r="AL509" s="19"/>
      <c r="AM509" s="19"/>
      <c r="AN509" s="19"/>
      <c r="AO509" s="19"/>
      <c r="AP509" s="18"/>
      <c r="AQ509" s="19"/>
      <c r="AR509" s="19"/>
      <c r="AS509" s="19"/>
      <c r="AT509" s="19"/>
      <c r="AU509" s="18"/>
      <c r="AV509" s="19"/>
      <c r="AW509" s="19"/>
      <c r="AX509" s="19"/>
      <c r="AY509" s="19"/>
      <c r="AZ509" s="18"/>
      <c r="BA509" s="19"/>
      <c r="BB509" s="19"/>
      <c r="BC509" s="19"/>
      <c r="BD509" s="19"/>
      <c r="BE509" s="18"/>
      <c r="BF509" s="19"/>
      <c r="BG509" s="19"/>
      <c r="BH509" s="19"/>
      <c r="BI509" s="19"/>
      <c r="BJ509" s="18"/>
      <c r="BK509" s="19"/>
      <c r="BL509" s="19"/>
      <c r="BM509" s="19"/>
      <c r="BN509" s="19"/>
      <c r="BO509" s="18"/>
      <c r="BP509" s="19"/>
      <c r="BQ509" s="19"/>
      <c r="BR509" s="19"/>
      <c r="BS509" s="19"/>
      <c r="BT509" s="18"/>
      <c r="BU509" s="19"/>
      <c r="BV509" s="19"/>
      <c r="BW509" s="19"/>
      <c r="BX509" s="19"/>
      <c r="BY509" s="18"/>
      <c r="BZ509" s="19"/>
      <c r="CA509" s="19"/>
      <c r="CB509" s="19"/>
      <c r="CC509" s="19"/>
      <c r="CD509" s="18"/>
      <c r="CE509" s="19"/>
      <c r="CF509" s="19"/>
      <c r="CG509" s="19"/>
      <c r="CH509" s="19"/>
      <c r="CI509" s="18"/>
      <c r="CJ509" s="19"/>
      <c r="CK509" s="19"/>
      <c r="CL509" s="19"/>
      <c r="CM509" s="19"/>
      <c r="CN509" s="687"/>
      <c r="CO509" s="687"/>
      <c r="CP509" s="687"/>
      <c r="CQ509" s="687"/>
      <c r="CR509" s="687"/>
      <c r="CS509" s="687"/>
      <c r="CT509" s="14"/>
    </row>
    <row r="510" spans="1:98" s="4" customFormat="1" x14ac:dyDescent="0.3">
      <c r="A510" s="14"/>
      <c r="B510" s="292"/>
      <c r="C510" s="292"/>
      <c r="D510" s="14"/>
      <c r="E510" s="14"/>
      <c r="F510" s="703"/>
      <c r="G510" s="14"/>
      <c r="H510" s="14"/>
      <c r="I510" s="14"/>
      <c r="J510" s="14"/>
      <c r="K510" s="14"/>
      <c r="L510" s="14"/>
      <c r="M510" s="14"/>
      <c r="N510" s="703"/>
      <c r="O510" s="111"/>
      <c r="P510" s="703"/>
      <c r="Q510" s="14"/>
      <c r="R510" s="14"/>
      <c r="S510" s="14"/>
      <c r="T510" s="14"/>
      <c r="U510" s="14"/>
      <c r="V510" s="14"/>
      <c r="W510" s="14"/>
      <c r="X510" s="14"/>
      <c r="Y510" s="14"/>
      <c r="Z510" s="14"/>
      <c r="AA510" s="18"/>
      <c r="AB510" s="19"/>
      <c r="AC510" s="19"/>
      <c r="AD510" s="19"/>
      <c r="AE510" s="19"/>
      <c r="AF510" s="18"/>
      <c r="AG510" s="19"/>
      <c r="AH510" s="19"/>
      <c r="AI510" s="19"/>
      <c r="AJ510" s="19"/>
      <c r="AK510" s="18"/>
      <c r="AL510" s="19"/>
      <c r="AM510" s="19"/>
      <c r="AN510" s="19"/>
      <c r="AO510" s="19"/>
      <c r="AP510" s="18"/>
      <c r="AQ510" s="19"/>
      <c r="AR510" s="19"/>
      <c r="AS510" s="19"/>
      <c r="AT510" s="19"/>
      <c r="AU510" s="18"/>
      <c r="AV510" s="19"/>
      <c r="AW510" s="19"/>
      <c r="AX510" s="19"/>
      <c r="AY510" s="19"/>
      <c r="AZ510" s="18"/>
      <c r="BA510" s="19"/>
      <c r="BB510" s="19"/>
      <c r="BC510" s="19"/>
      <c r="BD510" s="19"/>
      <c r="BE510" s="18"/>
      <c r="BF510" s="19"/>
      <c r="BG510" s="19"/>
      <c r="BH510" s="19"/>
      <c r="BI510" s="19"/>
      <c r="BJ510" s="18"/>
      <c r="BK510" s="19"/>
      <c r="BL510" s="19"/>
      <c r="BM510" s="19"/>
      <c r="BN510" s="19"/>
      <c r="BO510" s="18"/>
      <c r="BP510" s="19"/>
      <c r="BQ510" s="19"/>
      <c r="BR510" s="19"/>
      <c r="BS510" s="19"/>
      <c r="BT510" s="18"/>
      <c r="BU510" s="19"/>
      <c r="BV510" s="19"/>
      <c r="BW510" s="19"/>
      <c r="BX510" s="19"/>
      <c r="BY510" s="18"/>
      <c r="BZ510" s="19"/>
      <c r="CA510" s="19"/>
      <c r="CB510" s="19"/>
      <c r="CC510" s="19"/>
      <c r="CD510" s="18"/>
      <c r="CE510" s="19"/>
      <c r="CF510" s="19"/>
      <c r="CG510" s="19"/>
      <c r="CH510" s="19"/>
      <c r="CI510" s="18"/>
      <c r="CJ510" s="19"/>
      <c r="CK510" s="19"/>
      <c r="CL510" s="19"/>
      <c r="CM510" s="19"/>
      <c r="CN510" s="687"/>
      <c r="CO510" s="687"/>
      <c r="CP510" s="687"/>
      <c r="CQ510" s="687"/>
      <c r="CR510" s="687"/>
      <c r="CS510" s="687"/>
      <c r="CT510" s="14"/>
    </row>
    <row r="511" spans="1:98" s="4" customFormat="1" x14ac:dyDescent="0.3">
      <c r="A511" s="14"/>
      <c r="B511" s="292"/>
      <c r="C511" s="292"/>
      <c r="D511" s="14"/>
      <c r="E511" s="14"/>
      <c r="F511" s="703"/>
      <c r="G511" s="14"/>
      <c r="H511" s="14"/>
      <c r="I511" s="14"/>
      <c r="J511" s="14"/>
      <c r="K511" s="14"/>
      <c r="L511" s="14"/>
      <c r="M511" s="14"/>
      <c r="N511" s="703"/>
      <c r="O511" s="111"/>
      <c r="P511" s="703"/>
      <c r="Q511" s="14"/>
      <c r="R511" s="14"/>
      <c r="S511" s="14"/>
      <c r="T511" s="14"/>
      <c r="U511" s="14"/>
      <c r="V511" s="14"/>
      <c r="W511" s="14"/>
      <c r="X511" s="14"/>
      <c r="Y511" s="14"/>
      <c r="Z511" s="14"/>
      <c r="AA511" s="18"/>
      <c r="AB511" s="19"/>
      <c r="AC511" s="19"/>
      <c r="AD511" s="19"/>
      <c r="AE511" s="19"/>
      <c r="AF511" s="18"/>
      <c r="AG511" s="19"/>
      <c r="AH511" s="19"/>
      <c r="AI511" s="19"/>
      <c r="AJ511" s="19"/>
      <c r="AK511" s="18"/>
      <c r="AL511" s="19"/>
      <c r="AM511" s="19"/>
      <c r="AN511" s="19"/>
      <c r="AO511" s="19"/>
      <c r="AP511" s="18"/>
      <c r="AQ511" s="19"/>
      <c r="AR511" s="19"/>
      <c r="AS511" s="19"/>
      <c r="AT511" s="19"/>
      <c r="AU511" s="18"/>
      <c r="AV511" s="19"/>
      <c r="AW511" s="19"/>
      <c r="AX511" s="19"/>
      <c r="AY511" s="19"/>
      <c r="AZ511" s="18"/>
      <c r="BA511" s="19"/>
      <c r="BB511" s="19"/>
      <c r="BC511" s="19"/>
      <c r="BD511" s="19"/>
      <c r="BE511" s="18"/>
      <c r="BF511" s="19"/>
      <c r="BG511" s="19"/>
      <c r="BH511" s="19"/>
      <c r="BI511" s="19"/>
      <c r="BJ511" s="18"/>
      <c r="BK511" s="19"/>
      <c r="BL511" s="19"/>
      <c r="BM511" s="19"/>
      <c r="BN511" s="19"/>
      <c r="BO511" s="18"/>
      <c r="BP511" s="19"/>
      <c r="BQ511" s="19"/>
      <c r="BR511" s="19"/>
      <c r="BS511" s="19"/>
      <c r="BT511" s="18"/>
      <c r="BU511" s="19"/>
      <c r="BV511" s="19"/>
      <c r="BW511" s="19"/>
      <c r="BX511" s="19"/>
      <c r="BY511" s="18"/>
      <c r="BZ511" s="19"/>
      <c r="CA511" s="19"/>
      <c r="CB511" s="19"/>
      <c r="CC511" s="19"/>
      <c r="CD511" s="18"/>
      <c r="CE511" s="19"/>
      <c r="CF511" s="19"/>
      <c r="CG511" s="19"/>
      <c r="CH511" s="19"/>
      <c r="CI511" s="18"/>
      <c r="CJ511" s="19"/>
      <c r="CK511" s="19"/>
      <c r="CL511" s="19"/>
      <c r="CM511" s="19"/>
      <c r="CN511" s="687"/>
      <c r="CO511" s="687"/>
      <c r="CP511" s="687"/>
      <c r="CQ511" s="687"/>
      <c r="CR511" s="687"/>
      <c r="CS511" s="687"/>
      <c r="CT511" s="14"/>
    </row>
    <row r="512" spans="1:98" s="4" customFormat="1" x14ac:dyDescent="0.3">
      <c r="A512" s="14"/>
      <c r="B512" s="292"/>
      <c r="C512" s="292"/>
      <c r="D512" s="14"/>
      <c r="E512" s="14"/>
      <c r="F512" s="703"/>
      <c r="G512" s="14"/>
      <c r="H512" s="14"/>
      <c r="I512" s="14"/>
      <c r="J512" s="14"/>
      <c r="K512" s="14"/>
      <c r="L512" s="14"/>
      <c r="M512" s="14"/>
      <c r="N512" s="703"/>
      <c r="O512" s="111"/>
      <c r="P512" s="703"/>
      <c r="Q512" s="14"/>
      <c r="R512" s="14"/>
      <c r="S512" s="14"/>
      <c r="T512" s="14"/>
      <c r="U512" s="14"/>
      <c r="V512" s="14"/>
      <c r="W512" s="14"/>
      <c r="X512" s="14"/>
      <c r="Y512" s="14"/>
      <c r="Z512" s="14"/>
      <c r="AA512" s="18"/>
      <c r="AB512" s="19"/>
      <c r="AC512" s="19"/>
      <c r="AD512" s="19"/>
      <c r="AE512" s="19"/>
      <c r="AF512" s="18"/>
      <c r="AG512" s="19"/>
      <c r="AH512" s="19"/>
      <c r="AI512" s="19"/>
      <c r="AJ512" s="19"/>
      <c r="AK512" s="18"/>
      <c r="AL512" s="19"/>
      <c r="AM512" s="19"/>
      <c r="AN512" s="19"/>
      <c r="AO512" s="19"/>
      <c r="AP512" s="18"/>
      <c r="AQ512" s="19"/>
      <c r="AR512" s="19"/>
      <c r="AS512" s="19"/>
      <c r="AT512" s="19"/>
      <c r="AU512" s="18"/>
      <c r="AV512" s="19"/>
      <c r="AW512" s="19"/>
      <c r="AX512" s="19"/>
      <c r="AY512" s="19"/>
      <c r="AZ512" s="18"/>
      <c r="BA512" s="19"/>
      <c r="BB512" s="19"/>
      <c r="BC512" s="19"/>
      <c r="BD512" s="19"/>
      <c r="BE512" s="18"/>
      <c r="BF512" s="19"/>
      <c r="BG512" s="19"/>
      <c r="BH512" s="19"/>
      <c r="BI512" s="19"/>
      <c r="BJ512" s="18"/>
      <c r="BK512" s="19"/>
      <c r="BL512" s="19"/>
      <c r="BM512" s="19"/>
      <c r="BN512" s="19"/>
      <c r="BO512" s="18"/>
      <c r="BP512" s="19"/>
      <c r="BQ512" s="19"/>
      <c r="BR512" s="19"/>
      <c r="BS512" s="19"/>
      <c r="BT512" s="18"/>
      <c r="BU512" s="19"/>
      <c r="BV512" s="19"/>
      <c r="BW512" s="19"/>
      <c r="BX512" s="19"/>
      <c r="BY512" s="18"/>
      <c r="BZ512" s="19"/>
      <c r="CA512" s="19"/>
      <c r="CB512" s="19"/>
      <c r="CC512" s="19"/>
      <c r="CD512" s="18"/>
      <c r="CE512" s="19"/>
      <c r="CF512" s="19"/>
      <c r="CG512" s="19"/>
      <c r="CH512" s="19"/>
      <c r="CI512" s="18"/>
      <c r="CJ512" s="19"/>
      <c r="CK512" s="19"/>
      <c r="CL512" s="19"/>
      <c r="CM512" s="19"/>
      <c r="CN512" s="687"/>
      <c r="CO512" s="687"/>
      <c r="CP512" s="687"/>
      <c r="CQ512" s="687"/>
      <c r="CR512" s="687"/>
      <c r="CS512" s="687"/>
      <c r="CT512" s="14"/>
    </row>
    <row r="513" spans="1:98" s="4" customFormat="1" x14ac:dyDescent="0.3">
      <c r="A513" s="14"/>
      <c r="B513" s="292"/>
      <c r="C513" s="292"/>
      <c r="D513" s="14"/>
      <c r="E513" s="14"/>
      <c r="F513" s="703"/>
      <c r="G513" s="14"/>
      <c r="H513" s="14"/>
      <c r="I513" s="14"/>
      <c r="J513" s="14"/>
      <c r="K513" s="14"/>
      <c r="L513" s="14"/>
      <c r="M513" s="14"/>
      <c r="N513" s="703"/>
      <c r="O513" s="111"/>
      <c r="P513" s="703"/>
      <c r="Q513" s="14"/>
      <c r="R513" s="14"/>
      <c r="S513" s="14"/>
      <c r="T513" s="14"/>
      <c r="U513" s="14"/>
      <c r="V513" s="14"/>
      <c r="W513" s="14"/>
      <c r="X513" s="14"/>
      <c r="Y513" s="14"/>
      <c r="Z513" s="14"/>
      <c r="AA513" s="18"/>
      <c r="AB513" s="19"/>
      <c r="AC513" s="19"/>
      <c r="AD513" s="19"/>
      <c r="AE513" s="19"/>
      <c r="AF513" s="18"/>
      <c r="AG513" s="19"/>
      <c r="AH513" s="19"/>
      <c r="AI513" s="19"/>
      <c r="AJ513" s="19"/>
      <c r="AK513" s="18"/>
      <c r="AL513" s="19"/>
      <c r="AM513" s="19"/>
      <c r="AN513" s="19"/>
      <c r="AO513" s="19"/>
      <c r="AP513" s="18"/>
      <c r="AQ513" s="19"/>
      <c r="AR513" s="19"/>
      <c r="AS513" s="19"/>
      <c r="AT513" s="19"/>
      <c r="AU513" s="18"/>
      <c r="AV513" s="19"/>
      <c r="AW513" s="19"/>
      <c r="AX513" s="19"/>
      <c r="AY513" s="19"/>
      <c r="AZ513" s="18"/>
      <c r="BA513" s="19"/>
      <c r="BB513" s="19"/>
      <c r="BC513" s="19"/>
      <c r="BD513" s="19"/>
      <c r="BE513" s="18"/>
      <c r="BF513" s="19"/>
      <c r="BG513" s="19"/>
      <c r="BH513" s="19"/>
      <c r="BI513" s="19"/>
      <c r="BJ513" s="18"/>
      <c r="BK513" s="19"/>
      <c r="BL513" s="19"/>
      <c r="BM513" s="19"/>
      <c r="BN513" s="19"/>
      <c r="BO513" s="18"/>
      <c r="BP513" s="19"/>
      <c r="BQ513" s="19"/>
      <c r="BR513" s="19"/>
      <c r="BS513" s="19"/>
      <c r="BT513" s="18"/>
      <c r="BU513" s="19"/>
      <c r="BV513" s="19"/>
      <c r="BW513" s="19"/>
      <c r="BX513" s="19"/>
      <c r="BY513" s="18"/>
      <c r="BZ513" s="19"/>
      <c r="CA513" s="19"/>
      <c r="CB513" s="19"/>
      <c r="CC513" s="19"/>
      <c r="CD513" s="18"/>
      <c r="CE513" s="19"/>
      <c r="CF513" s="19"/>
      <c r="CG513" s="19"/>
      <c r="CH513" s="19"/>
      <c r="CI513" s="18"/>
      <c r="CJ513" s="19"/>
      <c r="CK513" s="19"/>
      <c r="CL513" s="19"/>
      <c r="CM513" s="19"/>
      <c r="CN513" s="687"/>
      <c r="CO513" s="687"/>
      <c r="CP513" s="687"/>
      <c r="CQ513" s="687"/>
      <c r="CR513" s="687"/>
      <c r="CS513" s="687"/>
      <c r="CT513" s="14"/>
    </row>
    <row r="514" spans="1:98" s="4" customFormat="1" x14ac:dyDescent="0.3">
      <c r="A514" s="14"/>
      <c r="B514" s="292"/>
      <c r="C514" s="292"/>
      <c r="D514" s="14"/>
      <c r="E514" s="14"/>
      <c r="F514" s="703"/>
      <c r="G514" s="14"/>
      <c r="H514" s="14"/>
      <c r="I514" s="14"/>
      <c r="J514" s="14"/>
      <c r="K514" s="14"/>
      <c r="L514" s="14"/>
      <c r="M514" s="14"/>
      <c r="N514" s="703"/>
      <c r="O514" s="111"/>
      <c r="P514" s="703"/>
      <c r="Q514" s="14"/>
      <c r="R514" s="14"/>
      <c r="S514" s="14"/>
      <c r="T514" s="14"/>
      <c r="U514" s="14"/>
      <c r="V514" s="14"/>
      <c r="W514" s="14"/>
      <c r="X514" s="14"/>
      <c r="Y514" s="14"/>
      <c r="Z514" s="14"/>
      <c r="AA514" s="18"/>
      <c r="AB514" s="19"/>
      <c r="AC514" s="19"/>
      <c r="AD514" s="19"/>
      <c r="AE514" s="19"/>
      <c r="AF514" s="18"/>
      <c r="AG514" s="19"/>
      <c r="AH514" s="19"/>
      <c r="AI514" s="19"/>
      <c r="AJ514" s="19"/>
      <c r="AK514" s="18"/>
      <c r="AL514" s="19"/>
      <c r="AM514" s="19"/>
      <c r="AN514" s="19"/>
      <c r="AO514" s="19"/>
      <c r="AP514" s="18"/>
      <c r="AQ514" s="19"/>
      <c r="AR514" s="19"/>
      <c r="AS514" s="19"/>
      <c r="AT514" s="19"/>
      <c r="AU514" s="18"/>
      <c r="AV514" s="19"/>
      <c r="AW514" s="19"/>
      <c r="AX514" s="19"/>
      <c r="AY514" s="19"/>
      <c r="AZ514" s="18"/>
      <c r="BA514" s="19"/>
      <c r="BB514" s="19"/>
      <c r="BC514" s="19"/>
      <c r="BD514" s="19"/>
      <c r="BE514" s="18"/>
      <c r="BF514" s="19"/>
      <c r="BG514" s="19"/>
      <c r="BH514" s="19"/>
      <c r="BI514" s="19"/>
      <c r="BJ514" s="18"/>
      <c r="BK514" s="19"/>
      <c r="BL514" s="19"/>
      <c r="BM514" s="19"/>
      <c r="BN514" s="19"/>
      <c r="BO514" s="18"/>
      <c r="BP514" s="19"/>
      <c r="BQ514" s="19"/>
      <c r="BR514" s="19"/>
      <c r="BS514" s="19"/>
      <c r="BT514" s="18"/>
      <c r="BU514" s="19"/>
      <c r="BV514" s="19"/>
      <c r="BW514" s="19"/>
      <c r="BX514" s="19"/>
      <c r="BY514" s="18"/>
      <c r="BZ514" s="19"/>
      <c r="CA514" s="19"/>
      <c r="CB514" s="19"/>
      <c r="CC514" s="19"/>
      <c r="CD514" s="18"/>
      <c r="CE514" s="19"/>
      <c r="CF514" s="19"/>
      <c r="CG514" s="19"/>
      <c r="CH514" s="19"/>
      <c r="CI514" s="18"/>
      <c r="CJ514" s="19"/>
      <c r="CK514" s="19"/>
      <c r="CL514" s="19"/>
      <c r="CM514" s="19"/>
      <c r="CN514" s="687"/>
      <c r="CO514" s="687"/>
      <c r="CP514" s="687"/>
      <c r="CQ514" s="687"/>
      <c r="CR514" s="687"/>
      <c r="CS514" s="687"/>
      <c r="CT514" s="14"/>
    </row>
    <row r="515" spans="1:98" s="4" customFormat="1" x14ac:dyDescent="0.3">
      <c r="A515" s="14"/>
      <c r="B515" s="292"/>
      <c r="C515" s="292"/>
      <c r="D515" s="14"/>
      <c r="E515" s="14"/>
      <c r="F515" s="703"/>
      <c r="G515" s="14"/>
      <c r="H515" s="14"/>
      <c r="I515" s="14"/>
      <c r="J515" s="14"/>
      <c r="K515" s="14"/>
      <c r="L515" s="14"/>
      <c r="M515" s="14"/>
      <c r="N515" s="703"/>
      <c r="O515" s="111"/>
      <c r="P515" s="703"/>
      <c r="Q515" s="14"/>
      <c r="R515" s="14"/>
      <c r="S515" s="14"/>
      <c r="T515" s="14"/>
      <c r="U515" s="14"/>
      <c r="V515" s="14"/>
      <c r="W515" s="14"/>
      <c r="X515" s="14"/>
      <c r="Y515" s="14"/>
      <c r="Z515" s="14"/>
      <c r="AA515" s="18"/>
      <c r="AB515" s="19"/>
      <c r="AC515" s="19"/>
      <c r="AD515" s="19"/>
      <c r="AE515" s="19"/>
      <c r="AF515" s="18"/>
      <c r="AG515" s="19"/>
      <c r="AH515" s="19"/>
      <c r="AI515" s="19"/>
      <c r="AJ515" s="19"/>
      <c r="AK515" s="18"/>
      <c r="AL515" s="19"/>
      <c r="AM515" s="19"/>
      <c r="AN515" s="19"/>
      <c r="AO515" s="19"/>
      <c r="AP515" s="18"/>
      <c r="AQ515" s="19"/>
      <c r="AR515" s="19"/>
      <c r="AS515" s="19"/>
      <c r="AT515" s="19"/>
      <c r="AU515" s="18"/>
      <c r="AV515" s="19"/>
      <c r="AW515" s="19"/>
      <c r="AX515" s="19"/>
      <c r="AY515" s="19"/>
      <c r="AZ515" s="18"/>
      <c r="BA515" s="19"/>
      <c r="BB515" s="19"/>
      <c r="BC515" s="19"/>
      <c r="BD515" s="19"/>
      <c r="BE515" s="18"/>
      <c r="BF515" s="19"/>
      <c r="BG515" s="19"/>
      <c r="BH515" s="19"/>
      <c r="BI515" s="19"/>
      <c r="BJ515" s="18"/>
      <c r="BK515" s="19"/>
      <c r="BL515" s="19"/>
      <c r="BM515" s="19"/>
      <c r="BN515" s="19"/>
      <c r="BO515" s="18"/>
      <c r="BP515" s="19"/>
      <c r="BQ515" s="19"/>
      <c r="BR515" s="19"/>
      <c r="BS515" s="19"/>
      <c r="BT515" s="18"/>
      <c r="BU515" s="19"/>
      <c r="BV515" s="19"/>
      <c r="BW515" s="19"/>
      <c r="BX515" s="19"/>
      <c r="BY515" s="18"/>
      <c r="BZ515" s="19"/>
      <c r="CA515" s="19"/>
      <c r="CB515" s="19"/>
      <c r="CC515" s="19"/>
      <c r="CD515" s="18"/>
      <c r="CE515" s="19"/>
      <c r="CF515" s="19"/>
      <c r="CG515" s="19"/>
      <c r="CH515" s="19"/>
      <c r="CI515" s="18"/>
      <c r="CJ515" s="19"/>
      <c r="CK515" s="19"/>
      <c r="CL515" s="19"/>
      <c r="CM515" s="19"/>
      <c r="CN515" s="687"/>
      <c r="CO515" s="687"/>
      <c r="CP515" s="687"/>
      <c r="CQ515" s="687"/>
      <c r="CR515" s="687"/>
      <c r="CS515" s="687"/>
      <c r="CT515" s="14"/>
    </row>
    <row r="516" spans="1:98" s="4" customFormat="1" x14ac:dyDescent="0.3">
      <c r="A516" s="14"/>
      <c r="B516" s="292"/>
      <c r="C516" s="292"/>
      <c r="D516" s="14"/>
      <c r="E516" s="14"/>
      <c r="F516" s="703"/>
      <c r="G516" s="14"/>
      <c r="H516" s="14"/>
      <c r="I516" s="14"/>
      <c r="J516" s="14"/>
      <c r="K516" s="14"/>
      <c r="L516" s="14"/>
      <c r="M516" s="14"/>
      <c r="N516" s="703"/>
      <c r="O516" s="111"/>
      <c r="P516" s="703"/>
      <c r="Q516" s="14"/>
      <c r="R516" s="14"/>
      <c r="S516" s="14"/>
      <c r="T516" s="14"/>
      <c r="U516" s="14"/>
      <c r="V516" s="14"/>
      <c r="W516" s="14"/>
      <c r="X516" s="14"/>
      <c r="Y516" s="14"/>
      <c r="Z516" s="14"/>
      <c r="AA516" s="18"/>
      <c r="AB516" s="19"/>
      <c r="AC516" s="19"/>
      <c r="AD516" s="19"/>
      <c r="AE516" s="19"/>
      <c r="AF516" s="18"/>
      <c r="AG516" s="19"/>
      <c r="AH516" s="19"/>
      <c r="AI516" s="19"/>
      <c r="AJ516" s="19"/>
      <c r="AK516" s="18"/>
      <c r="AL516" s="19"/>
      <c r="AM516" s="19"/>
      <c r="AN516" s="19"/>
      <c r="AO516" s="19"/>
      <c r="AP516" s="18"/>
      <c r="AQ516" s="19"/>
      <c r="AR516" s="19"/>
      <c r="AS516" s="19"/>
      <c r="AT516" s="19"/>
      <c r="AU516" s="18"/>
      <c r="AV516" s="19"/>
      <c r="AW516" s="19"/>
      <c r="AX516" s="19"/>
      <c r="AY516" s="19"/>
      <c r="AZ516" s="18"/>
      <c r="BA516" s="19"/>
      <c r="BB516" s="19"/>
      <c r="BC516" s="19"/>
      <c r="BD516" s="19"/>
      <c r="BE516" s="18"/>
      <c r="BF516" s="19"/>
      <c r="BG516" s="19"/>
      <c r="BH516" s="19"/>
      <c r="BI516" s="19"/>
      <c r="BJ516" s="18"/>
      <c r="BK516" s="19"/>
      <c r="BL516" s="19"/>
      <c r="BM516" s="19"/>
      <c r="BN516" s="19"/>
      <c r="BO516" s="18"/>
      <c r="BP516" s="19"/>
      <c r="BQ516" s="19"/>
      <c r="BR516" s="19"/>
      <c r="BS516" s="19"/>
      <c r="BT516" s="18"/>
      <c r="BU516" s="19"/>
      <c r="BV516" s="19"/>
      <c r="BW516" s="19"/>
      <c r="BX516" s="19"/>
      <c r="BY516" s="18"/>
      <c r="BZ516" s="19"/>
      <c r="CA516" s="19"/>
      <c r="CB516" s="19"/>
      <c r="CC516" s="19"/>
      <c r="CD516" s="18"/>
      <c r="CE516" s="19"/>
      <c r="CF516" s="19"/>
      <c r="CG516" s="19"/>
      <c r="CH516" s="19"/>
      <c r="CI516" s="18"/>
      <c r="CJ516" s="19"/>
      <c r="CK516" s="19"/>
      <c r="CL516" s="19"/>
      <c r="CM516" s="19"/>
      <c r="CN516" s="687"/>
      <c r="CO516" s="687"/>
      <c r="CP516" s="687"/>
      <c r="CQ516" s="687"/>
      <c r="CR516" s="687"/>
      <c r="CS516" s="687"/>
      <c r="CT516" s="14"/>
    </row>
    <row r="517" spans="1:98" s="4" customFormat="1" x14ac:dyDescent="0.3">
      <c r="A517" s="14"/>
      <c r="B517" s="292"/>
      <c r="C517" s="292"/>
      <c r="D517" s="14"/>
      <c r="E517" s="14"/>
      <c r="F517" s="703"/>
      <c r="G517" s="14"/>
      <c r="H517" s="14"/>
      <c r="I517" s="14"/>
      <c r="J517" s="14"/>
      <c r="K517" s="14"/>
      <c r="L517" s="14"/>
      <c r="M517" s="14"/>
      <c r="N517" s="703"/>
      <c r="O517" s="111"/>
      <c r="P517" s="703"/>
      <c r="Q517" s="14"/>
      <c r="R517" s="14"/>
      <c r="S517" s="14"/>
      <c r="T517" s="14"/>
      <c r="U517" s="14"/>
      <c r="V517" s="14"/>
      <c r="W517" s="14"/>
      <c r="X517" s="14"/>
      <c r="Y517" s="14"/>
      <c r="Z517" s="14"/>
      <c r="AA517" s="18"/>
      <c r="AB517" s="19"/>
      <c r="AC517" s="19"/>
      <c r="AD517" s="19"/>
      <c r="AE517" s="19"/>
      <c r="AF517" s="18"/>
      <c r="AG517" s="19"/>
      <c r="AH517" s="19"/>
      <c r="AI517" s="19"/>
      <c r="AJ517" s="19"/>
      <c r="AK517" s="18"/>
      <c r="AL517" s="19"/>
      <c r="AM517" s="19"/>
      <c r="AN517" s="19"/>
      <c r="AO517" s="19"/>
      <c r="AP517" s="18"/>
      <c r="AQ517" s="19"/>
      <c r="AR517" s="19"/>
      <c r="AS517" s="19"/>
      <c r="AT517" s="19"/>
      <c r="AU517" s="18"/>
      <c r="AV517" s="19"/>
      <c r="AW517" s="19"/>
      <c r="AX517" s="19"/>
      <c r="AY517" s="19"/>
      <c r="AZ517" s="18"/>
      <c r="BA517" s="19"/>
      <c r="BB517" s="19"/>
      <c r="BC517" s="19"/>
      <c r="BD517" s="19"/>
      <c r="BE517" s="18"/>
      <c r="BF517" s="19"/>
      <c r="BG517" s="19"/>
      <c r="BH517" s="19"/>
      <c r="BI517" s="19"/>
      <c r="BJ517" s="18"/>
      <c r="BK517" s="19"/>
      <c r="BL517" s="19"/>
      <c r="BM517" s="19"/>
      <c r="BN517" s="19"/>
      <c r="BO517" s="18"/>
      <c r="BP517" s="19"/>
      <c r="BQ517" s="19"/>
      <c r="BR517" s="19"/>
      <c r="BS517" s="19"/>
      <c r="BT517" s="18"/>
      <c r="BU517" s="19"/>
      <c r="BV517" s="19"/>
      <c r="BW517" s="19"/>
      <c r="BX517" s="19"/>
      <c r="BY517" s="18"/>
      <c r="BZ517" s="19"/>
      <c r="CA517" s="19"/>
      <c r="CB517" s="19"/>
      <c r="CC517" s="19"/>
      <c r="CD517" s="18"/>
      <c r="CE517" s="19"/>
      <c r="CF517" s="19"/>
      <c r="CG517" s="19"/>
      <c r="CH517" s="19"/>
      <c r="CI517" s="18"/>
      <c r="CJ517" s="19"/>
      <c r="CK517" s="19"/>
      <c r="CL517" s="19"/>
      <c r="CM517" s="19"/>
      <c r="CN517" s="687"/>
      <c r="CO517" s="687"/>
      <c r="CP517" s="687"/>
      <c r="CQ517" s="687"/>
      <c r="CR517" s="687"/>
      <c r="CS517" s="687"/>
      <c r="CT517" s="14"/>
    </row>
    <row r="518" spans="1:98" s="4" customFormat="1" x14ac:dyDescent="0.3">
      <c r="A518" s="14"/>
      <c r="B518" s="292"/>
      <c r="C518" s="292"/>
      <c r="D518" s="14"/>
      <c r="E518" s="14"/>
      <c r="F518" s="703"/>
      <c r="G518" s="14"/>
      <c r="H518" s="14"/>
      <c r="I518" s="14"/>
      <c r="J518" s="14"/>
      <c r="K518" s="14"/>
      <c r="L518" s="14"/>
      <c r="M518" s="14"/>
      <c r="N518" s="703"/>
      <c r="O518" s="111"/>
      <c r="P518" s="703"/>
      <c r="Q518" s="14"/>
      <c r="R518" s="14"/>
      <c r="S518" s="14"/>
      <c r="T518" s="14"/>
      <c r="U518" s="14"/>
      <c r="V518" s="14"/>
      <c r="W518" s="14"/>
      <c r="X518" s="14"/>
      <c r="Y518" s="14"/>
      <c r="Z518" s="14"/>
      <c r="AA518" s="18"/>
      <c r="AB518" s="19"/>
      <c r="AC518" s="19"/>
      <c r="AD518" s="19"/>
      <c r="AE518" s="19"/>
      <c r="AF518" s="18"/>
      <c r="AG518" s="19"/>
      <c r="AH518" s="19"/>
      <c r="AI518" s="19"/>
      <c r="AJ518" s="19"/>
      <c r="AK518" s="18"/>
      <c r="AL518" s="19"/>
      <c r="AM518" s="19"/>
      <c r="AN518" s="19"/>
      <c r="AO518" s="19"/>
      <c r="AP518" s="18"/>
      <c r="AQ518" s="19"/>
      <c r="AR518" s="19"/>
      <c r="AS518" s="19"/>
      <c r="AT518" s="19"/>
      <c r="AU518" s="18"/>
      <c r="AV518" s="19"/>
      <c r="AW518" s="19"/>
      <c r="AX518" s="19"/>
      <c r="AY518" s="19"/>
      <c r="AZ518" s="18"/>
      <c r="BA518" s="19"/>
      <c r="BB518" s="19"/>
      <c r="BC518" s="19"/>
      <c r="BD518" s="19"/>
      <c r="BE518" s="18"/>
      <c r="BF518" s="19"/>
      <c r="BG518" s="19"/>
      <c r="BH518" s="19"/>
      <c r="BI518" s="19"/>
      <c r="BJ518" s="18"/>
      <c r="BK518" s="19"/>
      <c r="BL518" s="19"/>
      <c r="BM518" s="19"/>
      <c r="BN518" s="19"/>
      <c r="BO518" s="18"/>
      <c r="BP518" s="19"/>
      <c r="BQ518" s="19"/>
      <c r="BR518" s="19"/>
      <c r="BS518" s="19"/>
      <c r="BT518" s="18"/>
      <c r="BU518" s="19"/>
      <c r="BV518" s="19"/>
      <c r="BW518" s="19"/>
      <c r="BX518" s="19"/>
      <c r="BY518" s="18"/>
      <c r="BZ518" s="19"/>
      <c r="CA518" s="19"/>
      <c r="CB518" s="19"/>
      <c r="CC518" s="19"/>
      <c r="CD518" s="18"/>
      <c r="CE518" s="19"/>
      <c r="CF518" s="19"/>
      <c r="CG518" s="19"/>
      <c r="CH518" s="19"/>
      <c r="CI518" s="18"/>
      <c r="CJ518" s="19"/>
      <c r="CK518" s="19"/>
      <c r="CL518" s="19"/>
      <c r="CM518" s="19"/>
      <c r="CN518" s="687"/>
      <c r="CO518" s="687"/>
      <c r="CP518" s="687"/>
      <c r="CQ518" s="687"/>
      <c r="CR518" s="687"/>
      <c r="CS518" s="687"/>
      <c r="CT518" s="14"/>
    </row>
    <row r="519" spans="1:98" s="4" customFormat="1" x14ac:dyDescent="0.3">
      <c r="A519" s="14"/>
      <c r="B519" s="292"/>
      <c r="C519" s="292"/>
      <c r="D519" s="14"/>
      <c r="E519" s="14"/>
      <c r="F519" s="703"/>
      <c r="G519" s="14"/>
      <c r="H519" s="14"/>
      <c r="I519" s="14"/>
      <c r="J519" s="14"/>
      <c r="K519" s="14"/>
      <c r="L519" s="14"/>
      <c r="M519" s="14"/>
      <c r="N519" s="703"/>
      <c r="O519" s="111"/>
      <c r="P519" s="703"/>
      <c r="Q519" s="14"/>
      <c r="R519" s="14"/>
      <c r="S519" s="14"/>
      <c r="T519" s="14"/>
      <c r="U519" s="14"/>
      <c r="V519" s="14"/>
      <c r="W519" s="14"/>
      <c r="X519" s="14"/>
      <c r="Y519" s="14"/>
      <c r="Z519" s="14"/>
      <c r="AA519" s="18"/>
      <c r="AB519" s="19"/>
      <c r="AC519" s="19"/>
      <c r="AD519" s="19"/>
      <c r="AE519" s="19"/>
      <c r="AF519" s="18"/>
      <c r="AG519" s="19"/>
      <c r="AH519" s="19"/>
      <c r="AI519" s="19"/>
      <c r="AJ519" s="19"/>
      <c r="AK519" s="18"/>
      <c r="AL519" s="19"/>
      <c r="AM519" s="19"/>
      <c r="AN519" s="19"/>
      <c r="AO519" s="19"/>
      <c r="AP519" s="18"/>
      <c r="AQ519" s="19"/>
      <c r="AR519" s="19"/>
      <c r="AS519" s="19"/>
      <c r="AT519" s="19"/>
      <c r="AU519" s="18"/>
      <c r="AV519" s="19"/>
      <c r="AW519" s="19"/>
      <c r="AX519" s="19"/>
      <c r="AY519" s="19"/>
      <c r="AZ519" s="18"/>
      <c r="BA519" s="19"/>
      <c r="BB519" s="19"/>
      <c r="BC519" s="19"/>
      <c r="BD519" s="19"/>
      <c r="BE519" s="18"/>
      <c r="BF519" s="19"/>
      <c r="BG519" s="19"/>
      <c r="BH519" s="19"/>
      <c r="BI519" s="19"/>
      <c r="BJ519" s="18"/>
      <c r="BK519" s="19"/>
      <c r="BL519" s="19"/>
      <c r="BM519" s="19"/>
      <c r="BN519" s="19"/>
      <c r="BO519" s="18"/>
      <c r="BP519" s="19"/>
      <c r="BQ519" s="19"/>
      <c r="BR519" s="19"/>
      <c r="BS519" s="19"/>
      <c r="BT519" s="18"/>
      <c r="BU519" s="19"/>
      <c r="BV519" s="19"/>
      <c r="BW519" s="19"/>
      <c r="BX519" s="19"/>
      <c r="BY519" s="18"/>
      <c r="BZ519" s="19"/>
      <c r="CA519" s="19"/>
      <c r="CB519" s="19"/>
      <c r="CC519" s="19"/>
      <c r="CD519" s="18"/>
      <c r="CE519" s="19"/>
      <c r="CF519" s="19"/>
      <c r="CG519" s="19"/>
      <c r="CH519" s="19"/>
      <c r="CI519" s="18"/>
      <c r="CJ519" s="19"/>
      <c r="CK519" s="19"/>
      <c r="CL519" s="19"/>
      <c r="CM519" s="19"/>
      <c r="CN519" s="687"/>
      <c r="CO519" s="687"/>
      <c r="CP519" s="687"/>
      <c r="CQ519" s="687"/>
      <c r="CR519" s="687"/>
      <c r="CS519" s="687"/>
      <c r="CT519" s="14"/>
    </row>
    <row r="520" spans="1:98" s="4" customFormat="1" x14ac:dyDescent="0.3">
      <c r="A520" s="14"/>
      <c r="B520" s="292"/>
      <c r="C520" s="292"/>
      <c r="D520" s="14"/>
      <c r="E520" s="14"/>
      <c r="F520" s="703"/>
      <c r="G520" s="14"/>
      <c r="H520" s="14"/>
      <c r="I520" s="14"/>
      <c r="J520" s="14"/>
      <c r="K520" s="14"/>
      <c r="L520" s="14"/>
      <c r="M520" s="14"/>
      <c r="N520" s="703"/>
      <c r="O520" s="111"/>
      <c r="P520" s="703"/>
      <c r="Q520" s="14"/>
      <c r="R520" s="14"/>
      <c r="S520" s="14"/>
      <c r="T520" s="14"/>
      <c r="U520" s="14"/>
      <c r="V520" s="14"/>
      <c r="W520" s="14"/>
      <c r="X520" s="14"/>
      <c r="Y520" s="14"/>
      <c r="Z520" s="14"/>
      <c r="AA520" s="18"/>
      <c r="AB520" s="19"/>
      <c r="AC520" s="19"/>
      <c r="AD520" s="19"/>
      <c r="AE520" s="19"/>
      <c r="AF520" s="18"/>
      <c r="AG520" s="19"/>
      <c r="AH520" s="19"/>
      <c r="AI520" s="19"/>
      <c r="AJ520" s="19"/>
      <c r="AK520" s="18"/>
      <c r="AL520" s="19"/>
      <c r="AM520" s="19"/>
      <c r="AN520" s="19"/>
      <c r="AO520" s="19"/>
      <c r="AP520" s="18"/>
      <c r="AQ520" s="19"/>
      <c r="AR520" s="19"/>
      <c r="AS520" s="19"/>
      <c r="AT520" s="19"/>
      <c r="AU520" s="18"/>
      <c r="AV520" s="19"/>
      <c r="AW520" s="19"/>
      <c r="AX520" s="19"/>
      <c r="AY520" s="19"/>
      <c r="AZ520" s="18"/>
      <c r="BA520" s="19"/>
      <c r="BB520" s="19"/>
      <c r="BC520" s="19"/>
      <c r="BD520" s="19"/>
      <c r="BE520" s="18"/>
      <c r="BF520" s="19"/>
      <c r="BG520" s="19"/>
      <c r="BH520" s="19"/>
      <c r="BI520" s="19"/>
      <c r="BJ520" s="18"/>
      <c r="BK520" s="19"/>
      <c r="BL520" s="19"/>
      <c r="BM520" s="19"/>
      <c r="BN520" s="19"/>
      <c r="BO520" s="18"/>
      <c r="BP520" s="19"/>
      <c r="BQ520" s="19"/>
      <c r="BR520" s="19"/>
      <c r="BS520" s="19"/>
      <c r="BT520" s="18"/>
      <c r="BU520" s="19"/>
      <c r="BV520" s="19"/>
      <c r="BW520" s="19"/>
      <c r="BX520" s="19"/>
      <c r="BY520" s="18"/>
      <c r="BZ520" s="19"/>
      <c r="CA520" s="19"/>
      <c r="CB520" s="19"/>
      <c r="CC520" s="19"/>
      <c r="CD520" s="18"/>
      <c r="CE520" s="19"/>
      <c r="CF520" s="19"/>
      <c r="CG520" s="19"/>
      <c r="CH520" s="19"/>
      <c r="CI520" s="18"/>
      <c r="CJ520" s="19"/>
      <c r="CK520" s="19"/>
      <c r="CL520" s="19"/>
      <c r="CM520" s="19"/>
      <c r="CN520" s="687"/>
      <c r="CO520" s="687"/>
      <c r="CP520" s="687"/>
      <c r="CQ520" s="687"/>
      <c r="CR520" s="687"/>
      <c r="CS520" s="687"/>
      <c r="CT520" s="14"/>
    </row>
    <row r="521" spans="1:98" s="4" customFormat="1" x14ac:dyDescent="0.3">
      <c r="A521" s="14"/>
      <c r="B521" s="292"/>
      <c r="C521" s="292"/>
      <c r="D521" s="14"/>
      <c r="E521" s="14"/>
      <c r="F521" s="703"/>
      <c r="G521" s="14"/>
      <c r="H521" s="14"/>
      <c r="I521" s="14"/>
      <c r="J521" s="14"/>
      <c r="K521" s="14"/>
      <c r="L521" s="14"/>
      <c r="M521" s="14"/>
      <c r="N521" s="703"/>
      <c r="O521" s="111"/>
      <c r="P521" s="703"/>
      <c r="Q521" s="14"/>
      <c r="R521" s="14"/>
      <c r="S521" s="14"/>
      <c r="T521" s="14"/>
      <c r="U521" s="14"/>
      <c r="V521" s="14"/>
      <c r="W521" s="14"/>
      <c r="X521" s="14"/>
      <c r="Y521" s="14"/>
      <c r="Z521" s="14"/>
      <c r="AA521" s="18"/>
      <c r="AB521" s="19"/>
      <c r="AC521" s="19"/>
      <c r="AD521" s="19"/>
      <c r="AE521" s="19"/>
      <c r="AF521" s="18"/>
      <c r="AG521" s="19"/>
      <c r="AH521" s="19"/>
      <c r="AI521" s="19"/>
      <c r="AJ521" s="19"/>
      <c r="AK521" s="18"/>
      <c r="AL521" s="19"/>
      <c r="AM521" s="19"/>
      <c r="AN521" s="19"/>
      <c r="AO521" s="19"/>
      <c r="AP521" s="18"/>
      <c r="AQ521" s="19"/>
      <c r="AR521" s="19"/>
      <c r="AS521" s="19"/>
      <c r="AT521" s="19"/>
      <c r="AU521" s="18"/>
      <c r="AV521" s="19"/>
      <c r="AW521" s="19"/>
      <c r="AX521" s="19"/>
      <c r="AY521" s="19"/>
      <c r="AZ521" s="18"/>
      <c r="BA521" s="19"/>
      <c r="BB521" s="19"/>
      <c r="BC521" s="19"/>
      <c r="BD521" s="19"/>
      <c r="BE521" s="18"/>
      <c r="BF521" s="19"/>
      <c r="BG521" s="19"/>
      <c r="BH521" s="19"/>
      <c r="BI521" s="19"/>
      <c r="BJ521" s="18"/>
      <c r="BK521" s="19"/>
      <c r="BL521" s="19"/>
      <c r="BM521" s="19"/>
      <c r="BN521" s="19"/>
      <c r="BO521" s="18"/>
      <c r="BP521" s="19"/>
      <c r="BQ521" s="19"/>
      <c r="BR521" s="19"/>
      <c r="BS521" s="19"/>
      <c r="BT521" s="18"/>
      <c r="BU521" s="19"/>
      <c r="BV521" s="19"/>
      <c r="BW521" s="19"/>
      <c r="BX521" s="19"/>
      <c r="BY521" s="18"/>
      <c r="BZ521" s="19"/>
      <c r="CA521" s="19"/>
      <c r="CB521" s="19"/>
      <c r="CC521" s="19"/>
      <c r="CD521" s="18"/>
      <c r="CE521" s="19"/>
      <c r="CF521" s="19"/>
      <c r="CG521" s="19"/>
      <c r="CH521" s="19"/>
      <c r="CI521" s="18"/>
      <c r="CJ521" s="19"/>
      <c r="CK521" s="19"/>
      <c r="CL521" s="19"/>
      <c r="CM521" s="19"/>
      <c r="CN521" s="687"/>
      <c r="CO521" s="687"/>
      <c r="CP521" s="687"/>
      <c r="CQ521" s="687"/>
      <c r="CR521" s="687"/>
      <c r="CS521" s="687"/>
      <c r="CT521" s="14"/>
    </row>
    <row r="522" spans="1:98" s="4" customFormat="1" x14ac:dyDescent="0.3">
      <c r="A522" s="14"/>
      <c r="B522" s="292"/>
      <c r="C522" s="292"/>
      <c r="D522" s="14"/>
      <c r="E522" s="14"/>
      <c r="F522" s="703"/>
      <c r="G522" s="14"/>
      <c r="H522" s="14"/>
      <c r="I522" s="14"/>
      <c r="J522" s="14"/>
      <c r="K522" s="14"/>
      <c r="L522" s="14"/>
      <c r="M522" s="14"/>
      <c r="N522" s="703"/>
      <c r="O522" s="111"/>
      <c r="P522" s="703"/>
      <c r="Q522" s="14"/>
      <c r="R522" s="14"/>
      <c r="S522" s="14"/>
      <c r="T522" s="14"/>
      <c r="U522" s="14"/>
      <c r="V522" s="14"/>
      <c r="W522" s="14"/>
      <c r="X522" s="14"/>
      <c r="Y522" s="14"/>
      <c r="Z522" s="14"/>
      <c r="AA522" s="18"/>
      <c r="AB522" s="19"/>
      <c r="AC522" s="19"/>
      <c r="AD522" s="19"/>
      <c r="AE522" s="19"/>
      <c r="AF522" s="18"/>
      <c r="AG522" s="19"/>
      <c r="AH522" s="19"/>
      <c r="AI522" s="19"/>
      <c r="AJ522" s="19"/>
      <c r="AK522" s="18"/>
      <c r="AL522" s="19"/>
      <c r="AM522" s="19"/>
      <c r="AN522" s="19"/>
      <c r="AO522" s="19"/>
      <c r="AP522" s="18"/>
      <c r="AQ522" s="19"/>
      <c r="AR522" s="19"/>
      <c r="AS522" s="19"/>
      <c r="AT522" s="19"/>
      <c r="AU522" s="18"/>
      <c r="AV522" s="19"/>
      <c r="AW522" s="19"/>
      <c r="AX522" s="19"/>
      <c r="AY522" s="19"/>
      <c r="AZ522" s="18"/>
      <c r="BA522" s="19"/>
      <c r="BB522" s="19"/>
      <c r="BC522" s="19"/>
      <c r="BD522" s="19"/>
      <c r="BE522" s="18"/>
      <c r="BF522" s="19"/>
      <c r="BG522" s="19"/>
      <c r="BH522" s="19"/>
      <c r="BI522" s="19"/>
      <c r="BJ522" s="18"/>
      <c r="BK522" s="19"/>
      <c r="BL522" s="19"/>
      <c r="BM522" s="19"/>
      <c r="BN522" s="19"/>
      <c r="BO522" s="18"/>
      <c r="BP522" s="19"/>
      <c r="BQ522" s="19"/>
      <c r="BR522" s="19"/>
      <c r="BS522" s="19"/>
      <c r="BT522" s="18"/>
      <c r="BU522" s="19"/>
      <c r="BV522" s="19"/>
      <c r="BW522" s="19"/>
      <c r="BX522" s="19"/>
      <c r="BY522" s="18"/>
      <c r="BZ522" s="19"/>
      <c r="CA522" s="19"/>
      <c r="CB522" s="19"/>
      <c r="CC522" s="19"/>
      <c r="CD522" s="18"/>
      <c r="CE522" s="19"/>
      <c r="CF522" s="19"/>
      <c r="CG522" s="19"/>
      <c r="CH522" s="19"/>
      <c r="CI522" s="18"/>
      <c r="CJ522" s="19"/>
      <c r="CK522" s="19"/>
      <c r="CL522" s="19"/>
      <c r="CM522" s="19"/>
      <c r="CN522" s="687"/>
      <c r="CO522" s="687"/>
      <c r="CP522" s="687"/>
      <c r="CQ522" s="687"/>
      <c r="CR522" s="687"/>
      <c r="CS522" s="687"/>
      <c r="CT522" s="14"/>
    </row>
    <row r="523" spans="1:98" s="4" customFormat="1" x14ac:dyDescent="0.3">
      <c r="A523" s="14"/>
      <c r="B523" s="292"/>
      <c r="C523" s="292"/>
      <c r="D523" s="14"/>
      <c r="E523" s="14"/>
      <c r="F523" s="703"/>
      <c r="G523" s="14"/>
      <c r="H523" s="14"/>
      <c r="I523" s="14"/>
      <c r="J523" s="14"/>
      <c r="K523" s="14"/>
      <c r="L523" s="14"/>
      <c r="M523" s="14"/>
      <c r="N523" s="703"/>
      <c r="O523" s="111"/>
      <c r="P523" s="703"/>
      <c r="Q523" s="14"/>
      <c r="R523" s="14"/>
      <c r="S523" s="14"/>
      <c r="T523" s="14"/>
      <c r="U523" s="14"/>
      <c r="V523" s="14"/>
      <c r="W523" s="14"/>
      <c r="X523" s="14"/>
      <c r="Y523" s="14"/>
      <c r="Z523" s="14"/>
      <c r="AA523" s="18"/>
      <c r="AB523" s="19"/>
      <c r="AC523" s="19"/>
      <c r="AD523" s="19"/>
      <c r="AE523" s="19"/>
      <c r="AF523" s="18"/>
      <c r="AG523" s="19"/>
      <c r="AH523" s="19"/>
      <c r="AI523" s="19"/>
      <c r="AJ523" s="19"/>
      <c r="AK523" s="18"/>
      <c r="AL523" s="19"/>
      <c r="AM523" s="19"/>
      <c r="AN523" s="19"/>
      <c r="AO523" s="19"/>
      <c r="AP523" s="18"/>
      <c r="AQ523" s="19"/>
      <c r="AR523" s="19"/>
      <c r="AS523" s="19"/>
      <c r="AT523" s="19"/>
      <c r="AU523" s="18"/>
      <c r="AV523" s="19"/>
      <c r="AW523" s="19"/>
      <c r="AX523" s="19"/>
      <c r="AY523" s="19"/>
      <c r="AZ523" s="18"/>
      <c r="BA523" s="19"/>
      <c r="BB523" s="19"/>
      <c r="BC523" s="19"/>
      <c r="BD523" s="19"/>
      <c r="BE523" s="18"/>
      <c r="BF523" s="19"/>
      <c r="BG523" s="19"/>
      <c r="BH523" s="19"/>
      <c r="BI523" s="19"/>
      <c r="BJ523" s="18"/>
      <c r="BK523" s="19"/>
      <c r="BL523" s="19"/>
      <c r="BM523" s="19"/>
      <c r="BN523" s="19"/>
      <c r="BO523" s="18"/>
      <c r="BP523" s="19"/>
      <c r="BQ523" s="19"/>
      <c r="BR523" s="19"/>
      <c r="BS523" s="19"/>
      <c r="BT523" s="18"/>
      <c r="BU523" s="19"/>
      <c r="BV523" s="19"/>
      <c r="BW523" s="19"/>
      <c r="BX523" s="19"/>
      <c r="BY523" s="18"/>
      <c r="BZ523" s="19"/>
      <c r="CA523" s="19"/>
      <c r="CB523" s="19"/>
      <c r="CC523" s="19"/>
      <c r="CD523" s="18"/>
      <c r="CE523" s="19"/>
      <c r="CF523" s="19"/>
      <c r="CG523" s="19"/>
      <c r="CH523" s="19"/>
      <c r="CI523" s="18"/>
      <c r="CJ523" s="19"/>
      <c r="CK523" s="19"/>
      <c r="CL523" s="19"/>
      <c r="CM523" s="19"/>
      <c r="CN523" s="687"/>
      <c r="CO523" s="687"/>
      <c r="CP523" s="687"/>
      <c r="CQ523" s="687"/>
      <c r="CR523" s="687"/>
      <c r="CS523" s="687"/>
      <c r="CT523" s="14"/>
    </row>
    <row r="524" spans="1:98" s="4" customFormat="1" x14ac:dyDescent="0.3">
      <c r="A524" s="14"/>
      <c r="B524" s="292"/>
      <c r="C524" s="292"/>
      <c r="D524" s="14"/>
      <c r="E524" s="14"/>
      <c r="F524" s="703"/>
      <c r="G524" s="14"/>
      <c r="H524" s="14"/>
      <c r="I524" s="14"/>
      <c r="J524" s="14"/>
      <c r="K524" s="14"/>
      <c r="L524" s="14"/>
      <c r="M524" s="14"/>
      <c r="N524" s="703"/>
      <c r="O524" s="111"/>
      <c r="P524" s="703"/>
      <c r="Q524" s="14"/>
      <c r="R524" s="14"/>
      <c r="S524" s="14"/>
      <c r="T524" s="14"/>
      <c r="U524" s="14"/>
      <c r="V524" s="14"/>
      <c r="W524" s="14"/>
      <c r="X524" s="14"/>
      <c r="Y524" s="14"/>
      <c r="Z524" s="14"/>
      <c r="AA524" s="18"/>
      <c r="AB524" s="19"/>
      <c r="AC524" s="19"/>
      <c r="AD524" s="19"/>
      <c r="AE524" s="19"/>
      <c r="AF524" s="18"/>
      <c r="AG524" s="19"/>
      <c r="AH524" s="19"/>
      <c r="AI524" s="19"/>
      <c r="AJ524" s="19"/>
      <c r="AK524" s="18"/>
      <c r="AL524" s="19"/>
      <c r="AM524" s="19"/>
      <c r="AN524" s="19"/>
      <c r="AO524" s="19"/>
      <c r="AP524" s="18"/>
      <c r="AQ524" s="19"/>
      <c r="AR524" s="19"/>
      <c r="AS524" s="19"/>
      <c r="AT524" s="19"/>
      <c r="AU524" s="18"/>
      <c r="AV524" s="19"/>
      <c r="AW524" s="19"/>
      <c r="AX524" s="19"/>
      <c r="AY524" s="19"/>
      <c r="AZ524" s="18"/>
      <c r="BA524" s="19"/>
      <c r="BB524" s="19"/>
      <c r="BC524" s="19"/>
      <c r="BD524" s="19"/>
      <c r="BE524" s="18"/>
      <c r="BF524" s="19"/>
      <c r="BG524" s="19"/>
      <c r="BH524" s="19"/>
      <c r="BI524" s="19"/>
      <c r="BJ524" s="18"/>
      <c r="BK524" s="19"/>
      <c r="BL524" s="19"/>
      <c r="BM524" s="19"/>
      <c r="BN524" s="19"/>
      <c r="BO524" s="18"/>
      <c r="BP524" s="19"/>
      <c r="BQ524" s="19"/>
      <c r="BR524" s="19"/>
      <c r="BS524" s="19"/>
      <c r="BT524" s="18"/>
      <c r="BU524" s="19"/>
      <c r="BV524" s="19"/>
      <c r="BW524" s="19"/>
      <c r="BX524" s="19"/>
      <c r="BY524" s="18"/>
      <c r="BZ524" s="19"/>
      <c r="CA524" s="19"/>
      <c r="CB524" s="19"/>
      <c r="CC524" s="19"/>
      <c r="CD524" s="18"/>
      <c r="CE524" s="19"/>
      <c r="CF524" s="19"/>
      <c r="CG524" s="19"/>
      <c r="CH524" s="19"/>
      <c r="CI524" s="18"/>
      <c r="CJ524" s="19"/>
      <c r="CK524" s="19"/>
      <c r="CL524" s="19"/>
      <c r="CM524" s="19"/>
      <c r="CN524" s="687"/>
      <c r="CO524" s="687"/>
      <c r="CP524" s="687"/>
      <c r="CQ524" s="687"/>
      <c r="CR524" s="687"/>
      <c r="CS524" s="687"/>
      <c r="CT524" s="14"/>
    </row>
    <row r="525" spans="1:98" s="4" customFormat="1" x14ac:dyDescent="0.3">
      <c r="A525" s="14"/>
      <c r="B525" s="292"/>
      <c r="C525" s="292"/>
      <c r="D525" s="14"/>
      <c r="E525" s="14"/>
      <c r="F525" s="703"/>
      <c r="G525" s="14"/>
      <c r="H525" s="14"/>
      <c r="I525" s="14"/>
      <c r="J525" s="14"/>
      <c r="K525" s="14"/>
      <c r="L525" s="14"/>
      <c r="M525" s="14"/>
      <c r="N525" s="703"/>
      <c r="O525" s="111"/>
      <c r="P525" s="703"/>
      <c r="Q525" s="14"/>
      <c r="R525" s="14"/>
      <c r="S525" s="14"/>
      <c r="T525" s="14"/>
      <c r="U525" s="14"/>
      <c r="V525" s="14"/>
      <c r="W525" s="14"/>
      <c r="X525" s="14"/>
      <c r="Y525" s="14"/>
      <c r="Z525" s="14"/>
      <c r="AA525" s="18"/>
      <c r="AB525" s="19"/>
      <c r="AC525" s="19"/>
      <c r="AD525" s="19"/>
      <c r="AE525" s="19"/>
      <c r="AF525" s="18"/>
      <c r="AG525" s="19"/>
      <c r="AH525" s="19"/>
      <c r="AI525" s="19"/>
      <c r="AJ525" s="19"/>
      <c r="AK525" s="18"/>
      <c r="AL525" s="19"/>
      <c r="AM525" s="19"/>
      <c r="AN525" s="19"/>
      <c r="AO525" s="19"/>
      <c r="AP525" s="18"/>
      <c r="AQ525" s="19"/>
      <c r="AR525" s="19"/>
      <c r="AS525" s="19"/>
      <c r="AT525" s="19"/>
      <c r="AU525" s="18"/>
      <c r="AV525" s="19"/>
      <c r="AW525" s="19"/>
      <c r="AX525" s="19"/>
      <c r="AY525" s="19"/>
      <c r="AZ525" s="18"/>
      <c r="BA525" s="19"/>
      <c r="BB525" s="19"/>
      <c r="BC525" s="19"/>
      <c r="BD525" s="19"/>
      <c r="BE525" s="18"/>
      <c r="BF525" s="19"/>
      <c r="BG525" s="19"/>
      <c r="BH525" s="19"/>
      <c r="BI525" s="19"/>
      <c r="BJ525" s="18"/>
      <c r="BK525" s="19"/>
      <c r="BL525" s="19"/>
      <c r="BM525" s="19"/>
      <c r="BN525" s="19"/>
      <c r="BO525" s="18"/>
      <c r="BP525" s="19"/>
      <c r="BQ525" s="19"/>
      <c r="BR525" s="19"/>
      <c r="BS525" s="19"/>
      <c r="BT525" s="18"/>
      <c r="BU525" s="19"/>
      <c r="BV525" s="19"/>
      <c r="BW525" s="19"/>
      <c r="BX525" s="19"/>
      <c r="BY525" s="18"/>
      <c r="BZ525" s="19"/>
      <c r="CA525" s="19"/>
      <c r="CB525" s="19"/>
      <c r="CC525" s="19"/>
      <c r="CD525" s="18"/>
      <c r="CE525" s="19"/>
      <c r="CF525" s="19"/>
      <c r="CG525" s="19"/>
      <c r="CH525" s="19"/>
      <c r="CI525" s="18"/>
      <c r="CJ525" s="19"/>
      <c r="CK525" s="19"/>
      <c r="CL525" s="19"/>
      <c r="CM525" s="19"/>
      <c r="CN525" s="687"/>
      <c r="CO525" s="687"/>
      <c r="CP525" s="687"/>
      <c r="CQ525" s="687"/>
      <c r="CR525" s="687"/>
      <c r="CS525" s="687"/>
      <c r="CT525" s="14"/>
    </row>
    <row r="526" spans="1:98" s="4" customFormat="1" x14ac:dyDescent="0.3">
      <c r="A526" s="14"/>
      <c r="B526" s="292"/>
      <c r="C526" s="292"/>
      <c r="D526" s="14"/>
      <c r="E526" s="14"/>
      <c r="F526" s="703"/>
      <c r="G526" s="14"/>
      <c r="H526" s="14"/>
      <c r="I526" s="14"/>
      <c r="J526" s="14"/>
      <c r="K526" s="14"/>
      <c r="L526" s="14"/>
      <c r="M526" s="14"/>
      <c r="N526" s="703"/>
      <c r="O526" s="111"/>
      <c r="P526" s="703"/>
      <c r="Q526" s="14"/>
      <c r="R526" s="14"/>
      <c r="S526" s="14"/>
      <c r="T526" s="14"/>
      <c r="U526" s="14"/>
      <c r="V526" s="14"/>
      <c r="W526" s="14"/>
      <c r="X526" s="14"/>
      <c r="Y526" s="14"/>
      <c r="Z526" s="14"/>
      <c r="AA526" s="18"/>
      <c r="AB526" s="19"/>
      <c r="AC526" s="19"/>
      <c r="AD526" s="19"/>
      <c r="AE526" s="19"/>
      <c r="AF526" s="18"/>
      <c r="AG526" s="19"/>
      <c r="AH526" s="19"/>
      <c r="AI526" s="19"/>
      <c r="AJ526" s="19"/>
      <c r="AK526" s="18"/>
      <c r="AL526" s="19"/>
      <c r="AM526" s="19"/>
      <c r="AN526" s="19"/>
      <c r="AO526" s="19"/>
      <c r="AP526" s="18"/>
      <c r="AQ526" s="19"/>
      <c r="AR526" s="19"/>
      <c r="AS526" s="19"/>
      <c r="AT526" s="19"/>
      <c r="AU526" s="18"/>
      <c r="AV526" s="19"/>
      <c r="AW526" s="19"/>
      <c r="AX526" s="19"/>
      <c r="AY526" s="19"/>
      <c r="AZ526" s="18"/>
      <c r="BA526" s="19"/>
      <c r="BB526" s="19"/>
      <c r="BC526" s="19"/>
      <c r="BD526" s="19"/>
      <c r="BE526" s="18"/>
      <c r="BF526" s="19"/>
      <c r="BG526" s="19"/>
      <c r="BH526" s="19"/>
      <c r="BI526" s="19"/>
      <c r="BJ526" s="18"/>
      <c r="BK526" s="19"/>
      <c r="BL526" s="19"/>
      <c r="BM526" s="19"/>
      <c r="BN526" s="19"/>
      <c r="BO526" s="18"/>
      <c r="BP526" s="19"/>
      <c r="BQ526" s="19"/>
      <c r="BR526" s="19"/>
      <c r="BS526" s="19"/>
      <c r="BT526" s="18"/>
      <c r="BU526" s="19"/>
      <c r="BV526" s="19"/>
      <c r="BW526" s="19"/>
      <c r="BX526" s="19"/>
      <c r="BY526" s="18"/>
      <c r="BZ526" s="19"/>
      <c r="CA526" s="19"/>
      <c r="CB526" s="19"/>
      <c r="CC526" s="19"/>
      <c r="CD526" s="18"/>
      <c r="CE526" s="19"/>
      <c r="CF526" s="19"/>
      <c r="CG526" s="19"/>
      <c r="CH526" s="19"/>
      <c r="CI526" s="18"/>
      <c r="CJ526" s="19"/>
      <c r="CK526" s="19"/>
      <c r="CL526" s="19"/>
      <c r="CM526" s="19"/>
      <c r="CN526" s="687"/>
      <c r="CO526" s="687"/>
      <c r="CP526" s="687"/>
      <c r="CQ526" s="687"/>
      <c r="CR526" s="687"/>
      <c r="CS526" s="687"/>
      <c r="CT526" s="14"/>
    </row>
    <row r="527" spans="1:98" s="4" customFormat="1" x14ac:dyDescent="0.3">
      <c r="A527" s="14"/>
      <c r="B527" s="292"/>
      <c r="C527" s="292"/>
      <c r="D527" s="14"/>
      <c r="E527" s="14"/>
      <c r="F527" s="703"/>
      <c r="G527" s="14"/>
      <c r="H527" s="14"/>
      <c r="I527" s="14"/>
      <c r="J527" s="14"/>
      <c r="K527" s="14"/>
      <c r="L527" s="14"/>
      <c r="M527" s="14"/>
      <c r="N527" s="703"/>
      <c r="O527" s="111"/>
      <c r="P527" s="703"/>
      <c r="Q527" s="14"/>
      <c r="R527" s="14"/>
      <c r="S527" s="14"/>
      <c r="T527" s="14"/>
      <c r="U527" s="14"/>
      <c r="V527" s="14"/>
      <c r="W527" s="14"/>
      <c r="X527" s="14"/>
      <c r="Y527" s="14"/>
      <c r="Z527" s="14"/>
      <c r="AA527" s="18"/>
      <c r="AB527" s="19"/>
      <c r="AC527" s="19"/>
      <c r="AD527" s="19"/>
      <c r="AE527" s="19"/>
      <c r="AF527" s="18"/>
      <c r="AG527" s="19"/>
      <c r="AH527" s="19"/>
      <c r="AI527" s="19"/>
      <c r="AJ527" s="19"/>
      <c r="AK527" s="18"/>
      <c r="AL527" s="19"/>
      <c r="AM527" s="19"/>
      <c r="AN527" s="19"/>
      <c r="AO527" s="19"/>
      <c r="AP527" s="18"/>
      <c r="AQ527" s="19"/>
      <c r="AR527" s="19"/>
      <c r="AS527" s="19"/>
      <c r="AT527" s="19"/>
      <c r="AU527" s="18"/>
      <c r="AV527" s="19"/>
      <c r="AW527" s="19"/>
      <c r="AX527" s="19"/>
      <c r="AY527" s="19"/>
      <c r="AZ527" s="18"/>
      <c r="BA527" s="19"/>
      <c r="BB527" s="19"/>
      <c r="BC527" s="19"/>
      <c r="BD527" s="19"/>
      <c r="BE527" s="18"/>
      <c r="BF527" s="19"/>
      <c r="BG527" s="19"/>
      <c r="BH527" s="19"/>
      <c r="BI527" s="19"/>
      <c r="BJ527" s="18"/>
      <c r="BK527" s="19"/>
      <c r="BL527" s="19"/>
      <c r="BM527" s="19"/>
      <c r="BN527" s="19"/>
      <c r="BO527" s="18"/>
      <c r="BP527" s="19"/>
      <c r="BQ527" s="19"/>
      <c r="BR527" s="19"/>
      <c r="BS527" s="19"/>
      <c r="BT527" s="18"/>
      <c r="BU527" s="19"/>
      <c r="BV527" s="19"/>
      <c r="BW527" s="19"/>
      <c r="BX527" s="19"/>
      <c r="BY527" s="18"/>
      <c r="BZ527" s="19"/>
      <c r="CA527" s="19"/>
      <c r="CB527" s="19"/>
      <c r="CC527" s="19"/>
      <c r="CD527" s="18"/>
      <c r="CE527" s="19"/>
      <c r="CF527" s="19"/>
      <c r="CG527" s="19"/>
      <c r="CH527" s="19"/>
      <c r="CI527" s="18"/>
      <c r="CJ527" s="19"/>
      <c r="CK527" s="19"/>
      <c r="CL527" s="19"/>
      <c r="CM527" s="19"/>
      <c r="CN527" s="687"/>
      <c r="CO527" s="687"/>
      <c r="CP527" s="687"/>
      <c r="CQ527" s="687"/>
      <c r="CR527" s="687"/>
      <c r="CS527" s="687"/>
      <c r="CT527" s="14"/>
    </row>
    <row r="528" spans="1:98" s="4" customFormat="1" x14ac:dyDescent="0.3">
      <c r="A528" s="14"/>
      <c r="B528" s="292"/>
      <c r="C528" s="292"/>
      <c r="D528" s="14"/>
      <c r="E528" s="14"/>
      <c r="F528" s="703"/>
      <c r="G528" s="14"/>
      <c r="H528" s="14"/>
      <c r="I528" s="14"/>
      <c r="J528" s="14"/>
      <c r="K528" s="14"/>
      <c r="L528" s="14"/>
      <c r="M528" s="14"/>
      <c r="N528" s="703"/>
      <c r="O528" s="111"/>
      <c r="P528" s="703"/>
      <c r="Q528" s="14"/>
      <c r="R528" s="14"/>
      <c r="S528" s="14"/>
      <c r="T528" s="14"/>
      <c r="U528" s="14"/>
      <c r="V528" s="14"/>
      <c r="W528" s="14"/>
      <c r="X528" s="14"/>
      <c r="Y528" s="14"/>
      <c r="Z528" s="14"/>
      <c r="AA528" s="18"/>
      <c r="AB528" s="19"/>
      <c r="AC528" s="19"/>
      <c r="AD528" s="19"/>
      <c r="AE528" s="19"/>
      <c r="AF528" s="18"/>
      <c r="AG528" s="19"/>
      <c r="AH528" s="19"/>
      <c r="AI528" s="19"/>
      <c r="AJ528" s="19"/>
      <c r="AK528" s="18"/>
      <c r="AL528" s="19"/>
      <c r="AM528" s="19"/>
      <c r="AN528" s="19"/>
      <c r="AO528" s="19"/>
      <c r="AP528" s="18"/>
      <c r="AQ528" s="19"/>
      <c r="AR528" s="19"/>
      <c r="AS528" s="19"/>
      <c r="AT528" s="19"/>
      <c r="AU528" s="18"/>
      <c r="AV528" s="19"/>
      <c r="AW528" s="19"/>
      <c r="AX528" s="19"/>
      <c r="AY528" s="19"/>
      <c r="AZ528" s="18"/>
      <c r="BA528" s="19"/>
      <c r="BB528" s="19"/>
      <c r="BC528" s="19"/>
      <c r="BD528" s="19"/>
      <c r="BE528" s="18"/>
      <c r="BF528" s="19"/>
      <c r="BG528" s="19"/>
      <c r="BH528" s="19"/>
      <c r="BI528" s="19"/>
      <c r="BJ528" s="18"/>
      <c r="BK528" s="19"/>
      <c r="BL528" s="19"/>
      <c r="BM528" s="19"/>
      <c r="BN528" s="19"/>
      <c r="BO528" s="18"/>
      <c r="BP528" s="19"/>
      <c r="BQ528" s="19"/>
      <c r="BR528" s="19"/>
      <c r="BS528" s="19"/>
      <c r="BT528" s="18"/>
      <c r="BU528" s="19"/>
      <c r="BV528" s="19"/>
      <c r="BW528" s="19"/>
      <c r="BX528" s="19"/>
      <c r="BY528" s="18"/>
      <c r="BZ528" s="19"/>
      <c r="CA528" s="19"/>
      <c r="CB528" s="19"/>
      <c r="CC528" s="19"/>
      <c r="CD528" s="18"/>
      <c r="CE528" s="19"/>
      <c r="CF528" s="19"/>
      <c r="CG528" s="19"/>
      <c r="CH528" s="19"/>
      <c r="CI528" s="18"/>
      <c r="CJ528" s="19"/>
      <c r="CK528" s="19"/>
      <c r="CL528" s="19"/>
      <c r="CM528" s="19"/>
      <c r="CN528" s="687"/>
      <c r="CO528" s="687"/>
      <c r="CP528" s="687"/>
      <c r="CQ528" s="687"/>
      <c r="CR528" s="687"/>
      <c r="CS528" s="687"/>
      <c r="CT528" s="14"/>
    </row>
    <row r="529" spans="1:98" s="4" customFormat="1" x14ac:dyDescent="0.3">
      <c r="A529" s="14"/>
      <c r="B529" s="292"/>
      <c r="C529" s="292"/>
      <c r="D529" s="14"/>
      <c r="E529" s="14"/>
      <c r="F529" s="703"/>
      <c r="G529" s="14"/>
      <c r="H529" s="14"/>
      <c r="I529" s="14"/>
      <c r="J529" s="14"/>
      <c r="K529" s="14"/>
      <c r="L529" s="14"/>
      <c r="M529" s="14"/>
      <c r="N529" s="703"/>
      <c r="O529" s="111"/>
      <c r="P529" s="703"/>
      <c r="Q529" s="14"/>
      <c r="R529" s="14"/>
      <c r="S529" s="14"/>
      <c r="T529" s="14"/>
      <c r="U529" s="14"/>
      <c r="V529" s="14"/>
      <c r="W529" s="14"/>
      <c r="X529" s="14"/>
      <c r="Y529" s="14"/>
      <c r="Z529" s="14"/>
      <c r="AA529" s="18"/>
      <c r="AB529" s="19"/>
      <c r="AC529" s="19"/>
      <c r="AD529" s="19"/>
      <c r="AE529" s="19"/>
      <c r="AF529" s="18"/>
      <c r="AG529" s="19"/>
      <c r="AH529" s="19"/>
      <c r="AI529" s="19"/>
      <c r="AJ529" s="19"/>
      <c r="AK529" s="18"/>
      <c r="AL529" s="19"/>
      <c r="AM529" s="19"/>
      <c r="AN529" s="19"/>
      <c r="AO529" s="19"/>
      <c r="AP529" s="18"/>
      <c r="AQ529" s="19"/>
      <c r="AR529" s="19"/>
      <c r="AS529" s="19"/>
      <c r="AT529" s="19"/>
      <c r="AU529" s="18"/>
      <c r="AV529" s="19"/>
      <c r="AW529" s="19"/>
      <c r="AX529" s="19"/>
      <c r="AY529" s="19"/>
      <c r="AZ529" s="18"/>
      <c r="BA529" s="19"/>
      <c r="BB529" s="19"/>
      <c r="BC529" s="19"/>
      <c r="BD529" s="19"/>
      <c r="BE529" s="18"/>
      <c r="BF529" s="19"/>
      <c r="BG529" s="19"/>
      <c r="BH529" s="19"/>
      <c r="BI529" s="19"/>
      <c r="BJ529" s="18"/>
      <c r="BK529" s="19"/>
      <c r="BL529" s="19"/>
      <c r="BM529" s="19"/>
      <c r="BN529" s="19"/>
      <c r="BO529" s="18"/>
      <c r="BP529" s="19"/>
      <c r="BQ529" s="19"/>
      <c r="BR529" s="19"/>
      <c r="BS529" s="19"/>
      <c r="BT529" s="18"/>
      <c r="BU529" s="19"/>
      <c r="BV529" s="19"/>
      <c r="BW529" s="19"/>
      <c r="BX529" s="19"/>
      <c r="BY529" s="18"/>
      <c r="BZ529" s="19"/>
      <c r="CA529" s="19"/>
      <c r="CB529" s="19"/>
      <c r="CC529" s="19"/>
      <c r="CD529" s="18"/>
      <c r="CE529" s="19"/>
      <c r="CF529" s="19"/>
      <c r="CG529" s="19"/>
      <c r="CH529" s="19"/>
      <c r="CI529" s="18"/>
      <c r="CJ529" s="19"/>
      <c r="CK529" s="19"/>
      <c r="CL529" s="19"/>
      <c r="CM529" s="19"/>
      <c r="CN529" s="687"/>
      <c r="CO529" s="687"/>
      <c r="CP529" s="687"/>
      <c r="CQ529" s="687"/>
      <c r="CR529" s="687"/>
      <c r="CS529" s="687"/>
      <c r="CT529" s="14"/>
    </row>
    <row r="530" spans="1:98" s="4" customFormat="1" x14ac:dyDescent="0.3">
      <c r="A530" s="14"/>
      <c r="B530" s="292"/>
      <c r="C530" s="292"/>
      <c r="D530" s="14"/>
      <c r="E530" s="14"/>
      <c r="F530" s="703"/>
      <c r="G530" s="14"/>
      <c r="H530" s="14"/>
      <c r="I530" s="14"/>
      <c r="J530" s="14"/>
      <c r="K530" s="14"/>
      <c r="L530" s="14"/>
      <c r="M530" s="14"/>
      <c r="N530" s="703"/>
      <c r="O530" s="111"/>
      <c r="P530" s="703"/>
      <c r="Q530" s="14"/>
      <c r="R530" s="14"/>
      <c r="S530" s="14"/>
      <c r="T530" s="14"/>
      <c r="U530" s="14"/>
      <c r="V530" s="14"/>
      <c r="W530" s="14"/>
      <c r="X530" s="14"/>
      <c r="Y530" s="14"/>
      <c r="Z530" s="14"/>
      <c r="AA530" s="18"/>
      <c r="AB530" s="19"/>
      <c r="AC530" s="19"/>
      <c r="AD530" s="19"/>
      <c r="AE530" s="19"/>
      <c r="AF530" s="18"/>
      <c r="AG530" s="19"/>
      <c r="AH530" s="19"/>
      <c r="AI530" s="19"/>
      <c r="AJ530" s="19"/>
      <c r="AK530" s="18"/>
      <c r="AL530" s="19"/>
      <c r="AM530" s="19"/>
      <c r="AN530" s="19"/>
      <c r="AO530" s="19"/>
      <c r="AP530" s="18"/>
      <c r="AQ530" s="19"/>
      <c r="AR530" s="19"/>
      <c r="AS530" s="19"/>
      <c r="AT530" s="19"/>
      <c r="AU530" s="18"/>
      <c r="AV530" s="19"/>
      <c r="AW530" s="19"/>
      <c r="AX530" s="19"/>
      <c r="AY530" s="19"/>
      <c r="AZ530" s="18"/>
      <c r="BA530" s="19"/>
      <c r="BB530" s="19"/>
      <c r="BC530" s="19"/>
      <c r="BD530" s="19"/>
      <c r="BE530" s="18"/>
      <c r="BF530" s="19"/>
      <c r="BG530" s="19"/>
      <c r="BH530" s="19"/>
      <c r="BI530" s="19"/>
      <c r="BJ530" s="18"/>
      <c r="BK530" s="19"/>
      <c r="BL530" s="19"/>
      <c r="BM530" s="19"/>
      <c r="BN530" s="19"/>
      <c r="BO530" s="18"/>
      <c r="BP530" s="19"/>
      <c r="BQ530" s="19"/>
      <c r="BR530" s="19"/>
      <c r="BS530" s="19"/>
      <c r="BT530" s="18"/>
      <c r="BU530" s="19"/>
      <c r="BV530" s="19"/>
      <c r="BW530" s="19"/>
      <c r="BX530" s="19"/>
      <c r="BY530" s="18"/>
      <c r="BZ530" s="19"/>
      <c r="CA530" s="19"/>
      <c r="CB530" s="19"/>
      <c r="CC530" s="19"/>
      <c r="CD530" s="18"/>
      <c r="CE530" s="19"/>
      <c r="CF530" s="19"/>
      <c r="CG530" s="19"/>
      <c r="CH530" s="19"/>
      <c r="CI530" s="18"/>
      <c r="CJ530" s="19"/>
      <c r="CK530" s="19"/>
      <c r="CL530" s="19"/>
      <c r="CM530" s="19"/>
      <c r="CN530" s="687"/>
      <c r="CO530" s="687"/>
      <c r="CP530" s="687"/>
      <c r="CQ530" s="687"/>
      <c r="CR530" s="687"/>
      <c r="CS530" s="687"/>
      <c r="CT530" s="14"/>
    </row>
    <row r="531" spans="1:98" s="4" customFormat="1" x14ac:dyDescent="0.3">
      <c r="A531" s="14"/>
      <c r="B531" s="292"/>
      <c r="C531" s="292"/>
      <c r="D531" s="14"/>
      <c r="E531" s="14"/>
      <c r="F531" s="703"/>
      <c r="G531" s="14"/>
      <c r="H531" s="14"/>
      <c r="I531" s="14"/>
      <c r="J531" s="14"/>
      <c r="K531" s="14"/>
      <c r="L531" s="14"/>
      <c r="M531" s="14"/>
      <c r="N531" s="703"/>
      <c r="O531" s="111"/>
      <c r="P531" s="703"/>
      <c r="Q531" s="14"/>
      <c r="R531" s="14"/>
      <c r="S531" s="14"/>
      <c r="T531" s="14"/>
      <c r="U531" s="14"/>
      <c r="V531" s="14"/>
      <c r="W531" s="14"/>
      <c r="X531" s="14"/>
      <c r="Y531" s="14"/>
      <c r="Z531" s="14"/>
      <c r="AA531" s="18"/>
      <c r="AB531" s="19"/>
      <c r="AC531" s="19"/>
      <c r="AD531" s="19"/>
      <c r="AE531" s="19"/>
      <c r="AF531" s="18"/>
      <c r="AG531" s="19"/>
      <c r="AH531" s="19"/>
      <c r="AI531" s="19"/>
      <c r="AJ531" s="19"/>
      <c r="AK531" s="18"/>
      <c r="AL531" s="19"/>
      <c r="AM531" s="19"/>
      <c r="AN531" s="19"/>
      <c r="AO531" s="19"/>
      <c r="AP531" s="18"/>
      <c r="AQ531" s="19"/>
      <c r="AR531" s="19"/>
      <c r="AS531" s="19"/>
      <c r="AT531" s="19"/>
      <c r="AU531" s="18"/>
      <c r="AV531" s="19"/>
      <c r="AW531" s="19"/>
      <c r="AX531" s="19"/>
      <c r="AY531" s="19"/>
      <c r="AZ531" s="18"/>
      <c r="BA531" s="19"/>
      <c r="BB531" s="19"/>
      <c r="BC531" s="19"/>
      <c r="BD531" s="19"/>
      <c r="BE531" s="18"/>
      <c r="BF531" s="19"/>
      <c r="BG531" s="19"/>
      <c r="BH531" s="19"/>
      <c r="BI531" s="19"/>
      <c r="BJ531" s="18"/>
      <c r="BK531" s="19"/>
      <c r="BL531" s="19"/>
      <c r="BM531" s="19"/>
      <c r="BN531" s="19"/>
      <c r="BO531" s="18"/>
      <c r="BP531" s="19"/>
      <c r="BQ531" s="19"/>
      <c r="BR531" s="19"/>
      <c r="BS531" s="19"/>
      <c r="BT531" s="18"/>
      <c r="BU531" s="19"/>
      <c r="BV531" s="19"/>
      <c r="BW531" s="19"/>
      <c r="BX531" s="19"/>
      <c r="BY531" s="18"/>
      <c r="BZ531" s="19"/>
      <c r="CA531" s="19"/>
      <c r="CB531" s="19"/>
      <c r="CC531" s="19"/>
      <c r="CD531" s="18"/>
      <c r="CE531" s="19"/>
      <c r="CF531" s="19"/>
      <c r="CG531" s="19"/>
      <c r="CH531" s="19"/>
      <c r="CI531" s="18"/>
      <c r="CJ531" s="19"/>
      <c r="CK531" s="19"/>
      <c r="CL531" s="19"/>
      <c r="CM531" s="19"/>
      <c r="CN531" s="687"/>
      <c r="CO531" s="687"/>
      <c r="CP531" s="687"/>
      <c r="CQ531" s="687"/>
      <c r="CR531" s="687"/>
      <c r="CS531" s="687"/>
      <c r="CT531" s="14"/>
    </row>
    <row r="532" spans="1:98" s="4" customFormat="1" x14ac:dyDescent="0.3">
      <c r="A532" s="14"/>
      <c r="B532" s="292"/>
      <c r="C532" s="292"/>
      <c r="D532" s="14"/>
      <c r="E532" s="14"/>
      <c r="F532" s="703"/>
      <c r="G532" s="14"/>
      <c r="H532" s="14"/>
      <c r="I532" s="14"/>
      <c r="J532" s="14"/>
      <c r="K532" s="14"/>
      <c r="L532" s="14"/>
      <c r="M532" s="14"/>
      <c r="N532" s="703"/>
      <c r="O532" s="111"/>
      <c r="P532" s="703"/>
      <c r="Q532" s="14"/>
      <c r="R532" s="14"/>
      <c r="S532" s="14"/>
      <c r="T532" s="14"/>
      <c r="U532" s="14"/>
      <c r="V532" s="14"/>
      <c r="W532" s="14"/>
      <c r="X532" s="14"/>
      <c r="Y532" s="14"/>
      <c r="Z532" s="14"/>
      <c r="AA532" s="18"/>
      <c r="AB532" s="19"/>
      <c r="AC532" s="19"/>
      <c r="AD532" s="19"/>
      <c r="AE532" s="19"/>
      <c r="AF532" s="18"/>
      <c r="AG532" s="19"/>
      <c r="AH532" s="19"/>
      <c r="AI532" s="19"/>
      <c r="AJ532" s="19"/>
      <c r="AK532" s="18"/>
      <c r="AL532" s="19"/>
      <c r="AM532" s="19"/>
      <c r="AN532" s="19"/>
      <c r="AO532" s="19"/>
      <c r="AP532" s="18"/>
      <c r="AQ532" s="19"/>
      <c r="AR532" s="19"/>
      <c r="AS532" s="19"/>
      <c r="AT532" s="19"/>
      <c r="AU532" s="18"/>
      <c r="AV532" s="19"/>
      <c r="AW532" s="19"/>
      <c r="AX532" s="19"/>
      <c r="AY532" s="19"/>
      <c r="AZ532" s="18"/>
      <c r="BA532" s="19"/>
      <c r="BB532" s="19"/>
      <c r="BC532" s="19"/>
      <c r="BD532" s="19"/>
      <c r="BE532" s="18"/>
      <c r="BF532" s="19"/>
      <c r="BG532" s="19"/>
      <c r="BH532" s="19"/>
      <c r="BI532" s="19"/>
      <c r="BJ532" s="18"/>
      <c r="BK532" s="19"/>
      <c r="BL532" s="19"/>
      <c r="BM532" s="19"/>
      <c r="BN532" s="19"/>
      <c r="BO532" s="18"/>
      <c r="BP532" s="19"/>
      <c r="BQ532" s="19"/>
      <c r="BR532" s="19"/>
      <c r="BS532" s="19"/>
      <c r="BT532" s="18"/>
      <c r="BU532" s="19"/>
      <c r="BV532" s="19"/>
      <c r="BW532" s="19"/>
      <c r="BX532" s="19"/>
      <c r="BY532" s="18"/>
      <c r="BZ532" s="19"/>
      <c r="CA532" s="19"/>
      <c r="CB532" s="19"/>
      <c r="CC532" s="19"/>
      <c r="CD532" s="18"/>
      <c r="CE532" s="19"/>
      <c r="CF532" s="19"/>
      <c r="CG532" s="19"/>
      <c r="CH532" s="19"/>
      <c r="CI532" s="18"/>
      <c r="CJ532" s="19"/>
      <c r="CK532" s="19"/>
      <c r="CL532" s="19"/>
      <c r="CM532" s="19"/>
      <c r="CN532" s="687"/>
      <c r="CO532" s="687"/>
      <c r="CP532" s="687"/>
      <c r="CQ532" s="687"/>
      <c r="CR532" s="687"/>
      <c r="CS532" s="687"/>
      <c r="CT532" s="14"/>
    </row>
    <row r="533" spans="1:98" s="4" customFormat="1" x14ac:dyDescent="0.3">
      <c r="A533" s="14"/>
      <c r="B533" s="292"/>
      <c r="C533" s="292"/>
      <c r="D533" s="14"/>
      <c r="E533" s="14"/>
      <c r="F533" s="703"/>
      <c r="G533" s="14"/>
      <c r="H533" s="14"/>
      <c r="I533" s="14"/>
      <c r="J533" s="14"/>
      <c r="K533" s="14"/>
      <c r="L533" s="14"/>
      <c r="M533" s="14"/>
      <c r="N533" s="703"/>
      <c r="O533" s="111"/>
      <c r="P533" s="703"/>
      <c r="Q533" s="14"/>
      <c r="R533" s="14"/>
      <c r="S533" s="14"/>
      <c r="T533" s="14"/>
      <c r="U533" s="14"/>
      <c r="V533" s="14"/>
      <c r="W533" s="14"/>
      <c r="X533" s="14"/>
      <c r="Y533" s="14"/>
      <c r="Z533" s="14"/>
      <c r="AA533" s="18"/>
      <c r="AB533" s="19"/>
      <c r="AC533" s="19"/>
      <c r="AD533" s="19"/>
      <c r="AE533" s="19"/>
      <c r="AF533" s="18"/>
      <c r="AG533" s="19"/>
      <c r="AH533" s="19"/>
      <c r="AI533" s="19"/>
      <c r="AJ533" s="19"/>
      <c r="AK533" s="18"/>
      <c r="AL533" s="19"/>
      <c r="AM533" s="19"/>
      <c r="AN533" s="19"/>
      <c r="AO533" s="19"/>
      <c r="AP533" s="18"/>
      <c r="AQ533" s="19"/>
      <c r="AR533" s="19"/>
      <c r="AS533" s="19"/>
      <c r="AT533" s="19"/>
      <c r="AU533" s="18"/>
      <c r="AV533" s="19"/>
      <c r="AW533" s="19"/>
      <c r="AX533" s="19"/>
      <c r="AY533" s="19"/>
      <c r="AZ533" s="18"/>
      <c r="BA533" s="19"/>
      <c r="BB533" s="19"/>
      <c r="BC533" s="19"/>
      <c r="BD533" s="19"/>
      <c r="BE533" s="18"/>
      <c r="BF533" s="19"/>
      <c r="BG533" s="19"/>
      <c r="BH533" s="19"/>
      <c r="BI533" s="19"/>
      <c r="BJ533" s="18"/>
      <c r="BK533" s="19"/>
      <c r="BL533" s="19"/>
      <c r="BM533" s="19"/>
      <c r="BN533" s="19"/>
      <c r="BO533" s="18"/>
      <c r="BP533" s="19"/>
      <c r="BQ533" s="19"/>
      <c r="BR533" s="19"/>
      <c r="BS533" s="19"/>
      <c r="BT533" s="18"/>
      <c r="BU533" s="19"/>
      <c r="BV533" s="19"/>
      <c r="BW533" s="19"/>
      <c r="BX533" s="19"/>
      <c r="BY533" s="18"/>
      <c r="BZ533" s="19"/>
      <c r="CA533" s="19"/>
      <c r="CB533" s="19"/>
      <c r="CC533" s="19"/>
      <c r="CD533" s="18"/>
      <c r="CE533" s="19"/>
      <c r="CF533" s="19"/>
      <c r="CG533" s="19"/>
      <c r="CH533" s="19"/>
      <c r="CI533" s="18"/>
      <c r="CJ533" s="19"/>
      <c r="CK533" s="19"/>
      <c r="CL533" s="19"/>
      <c r="CM533" s="19"/>
      <c r="CN533" s="687"/>
      <c r="CO533" s="687"/>
      <c r="CP533" s="687"/>
      <c r="CQ533" s="687"/>
      <c r="CR533" s="687"/>
      <c r="CS533" s="687"/>
      <c r="CT533" s="14"/>
    </row>
    <row r="534" spans="1:98" s="4" customFormat="1" x14ac:dyDescent="0.3">
      <c r="A534" s="14"/>
      <c r="B534" s="292"/>
      <c r="C534" s="292"/>
      <c r="D534" s="14"/>
      <c r="E534" s="14"/>
      <c r="F534" s="703"/>
      <c r="G534" s="14"/>
      <c r="H534" s="14"/>
      <c r="I534" s="14"/>
      <c r="J534" s="14"/>
      <c r="K534" s="14"/>
      <c r="L534" s="14"/>
      <c r="M534" s="14"/>
      <c r="N534" s="703"/>
      <c r="O534" s="111"/>
      <c r="P534" s="703"/>
      <c r="Q534" s="14"/>
      <c r="R534" s="14"/>
      <c r="S534" s="14"/>
      <c r="T534" s="14"/>
      <c r="U534" s="14"/>
      <c r="V534" s="14"/>
      <c r="W534" s="14"/>
      <c r="X534" s="14"/>
      <c r="Y534" s="14"/>
      <c r="Z534" s="14"/>
      <c r="AA534" s="18"/>
      <c r="AB534" s="19"/>
      <c r="AC534" s="19"/>
      <c r="AD534" s="19"/>
      <c r="AE534" s="19"/>
      <c r="AF534" s="18"/>
      <c r="AG534" s="19"/>
      <c r="AH534" s="19"/>
      <c r="AI534" s="19"/>
      <c r="AJ534" s="19"/>
      <c r="AK534" s="18"/>
      <c r="AL534" s="19"/>
      <c r="AM534" s="19"/>
      <c r="AN534" s="19"/>
      <c r="AO534" s="19"/>
      <c r="AP534" s="18"/>
      <c r="AQ534" s="19"/>
      <c r="AR534" s="19"/>
      <c r="AS534" s="19"/>
      <c r="AT534" s="19"/>
      <c r="AU534" s="18"/>
      <c r="AV534" s="19"/>
      <c r="AW534" s="19"/>
      <c r="AX534" s="19"/>
      <c r="AY534" s="19"/>
      <c r="AZ534" s="18"/>
      <c r="BA534" s="19"/>
      <c r="BB534" s="19"/>
      <c r="BC534" s="19"/>
      <c r="BD534" s="19"/>
      <c r="BE534" s="18"/>
      <c r="BF534" s="19"/>
      <c r="BG534" s="19"/>
      <c r="BH534" s="19"/>
      <c r="BI534" s="19"/>
      <c r="BJ534" s="18"/>
      <c r="BK534" s="19"/>
      <c r="BL534" s="19"/>
      <c r="BM534" s="19"/>
      <c r="BN534" s="19"/>
      <c r="BO534" s="18"/>
      <c r="BP534" s="19"/>
      <c r="BQ534" s="19"/>
      <c r="BR534" s="19"/>
      <c r="BS534" s="19"/>
      <c r="BT534" s="18"/>
      <c r="BU534" s="19"/>
      <c r="BV534" s="19"/>
      <c r="BW534" s="19"/>
      <c r="BX534" s="19"/>
      <c r="BY534" s="18"/>
      <c r="BZ534" s="19"/>
      <c r="CA534" s="19"/>
      <c r="CB534" s="19"/>
      <c r="CC534" s="19"/>
      <c r="CD534" s="18"/>
      <c r="CE534" s="19"/>
      <c r="CF534" s="19"/>
      <c r="CG534" s="19"/>
      <c r="CH534" s="19"/>
      <c r="CI534" s="18"/>
      <c r="CJ534" s="19"/>
      <c r="CK534" s="19"/>
      <c r="CL534" s="19"/>
      <c r="CM534" s="19"/>
      <c r="CN534" s="687"/>
      <c r="CO534" s="687"/>
      <c r="CP534" s="687"/>
      <c r="CQ534" s="687"/>
      <c r="CR534" s="687"/>
      <c r="CS534" s="687"/>
      <c r="CT534" s="14"/>
    </row>
    <row r="535" spans="1:98" s="4" customFormat="1" x14ac:dyDescent="0.3">
      <c r="A535" s="14"/>
      <c r="B535" s="292"/>
      <c r="C535" s="292"/>
      <c r="D535" s="14"/>
      <c r="E535" s="14"/>
      <c r="F535" s="703"/>
      <c r="G535" s="14"/>
      <c r="H535" s="14"/>
      <c r="I535" s="14"/>
      <c r="J535" s="14"/>
      <c r="K535" s="14"/>
      <c r="L535" s="14"/>
      <c r="M535" s="14"/>
      <c r="N535" s="703"/>
      <c r="O535" s="111"/>
      <c r="P535" s="703"/>
      <c r="Q535" s="14"/>
      <c r="R535" s="14"/>
      <c r="S535" s="14"/>
      <c r="T535" s="14"/>
      <c r="U535" s="14"/>
      <c r="V535" s="14"/>
      <c r="W535" s="14"/>
      <c r="X535" s="14"/>
      <c r="Y535" s="14"/>
      <c r="Z535" s="14"/>
      <c r="AA535" s="18"/>
      <c r="AB535" s="19"/>
      <c r="AC535" s="19"/>
      <c r="AD535" s="19"/>
      <c r="AE535" s="19"/>
      <c r="AF535" s="18"/>
      <c r="AG535" s="19"/>
      <c r="AH535" s="19"/>
      <c r="AI535" s="19"/>
      <c r="AJ535" s="19"/>
      <c r="AK535" s="18"/>
      <c r="AL535" s="19"/>
      <c r="AM535" s="19"/>
      <c r="AN535" s="19"/>
      <c r="AO535" s="19"/>
      <c r="AP535" s="18"/>
      <c r="AQ535" s="19"/>
      <c r="AR535" s="19"/>
      <c r="AS535" s="19"/>
      <c r="AT535" s="19"/>
      <c r="AU535" s="18"/>
      <c r="AV535" s="19"/>
      <c r="AW535" s="19"/>
      <c r="AX535" s="19"/>
      <c r="AY535" s="19"/>
      <c r="AZ535" s="18"/>
      <c r="BA535" s="19"/>
      <c r="BB535" s="19"/>
      <c r="BC535" s="19"/>
      <c r="BD535" s="19"/>
      <c r="BE535" s="18"/>
      <c r="BF535" s="19"/>
      <c r="BG535" s="19"/>
      <c r="BH535" s="19"/>
      <c r="BI535" s="19"/>
      <c r="BJ535" s="18"/>
      <c r="BK535" s="19"/>
      <c r="BL535" s="19"/>
      <c r="BM535" s="19"/>
      <c r="BN535" s="19"/>
      <c r="BO535" s="18"/>
      <c r="BP535" s="19"/>
      <c r="BQ535" s="19"/>
      <c r="BR535" s="19"/>
      <c r="BS535" s="19"/>
      <c r="BT535" s="18"/>
      <c r="BU535" s="19"/>
      <c r="BV535" s="19"/>
      <c r="BW535" s="19"/>
      <c r="BX535" s="19"/>
      <c r="BY535" s="18"/>
      <c r="BZ535" s="19"/>
      <c r="CA535" s="19"/>
      <c r="CB535" s="19"/>
      <c r="CC535" s="19"/>
      <c r="CD535" s="18"/>
      <c r="CE535" s="19"/>
      <c r="CF535" s="19"/>
      <c r="CG535" s="19"/>
      <c r="CH535" s="19"/>
      <c r="CI535" s="18"/>
      <c r="CJ535" s="19"/>
      <c r="CK535" s="19"/>
      <c r="CL535" s="19"/>
      <c r="CM535" s="19"/>
      <c r="CN535" s="687"/>
      <c r="CO535" s="687"/>
      <c r="CP535" s="687"/>
      <c r="CQ535" s="687"/>
      <c r="CR535" s="687"/>
      <c r="CS535" s="687"/>
      <c r="CT535" s="14"/>
    </row>
    <row r="536" spans="1:98" s="4" customFormat="1" x14ac:dyDescent="0.3">
      <c r="A536" s="14"/>
      <c r="B536" s="292"/>
      <c r="C536" s="292"/>
      <c r="D536" s="14"/>
      <c r="E536" s="14"/>
      <c r="F536" s="703"/>
      <c r="G536" s="14"/>
      <c r="H536" s="14"/>
      <c r="I536" s="14"/>
      <c r="J536" s="14"/>
      <c r="K536" s="14"/>
      <c r="L536" s="14"/>
      <c r="M536" s="14"/>
      <c r="N536" s="703"/>
      <c r="O536" s="111"/>
      <c r="P536" s="703"/>
      <c r="Q536" s="14"/>
      <c r="R536" s="14"/>
      <c r="S536" s="14"/>
      <c r="T536" s="14"/>
      <c r="U536" s="14"/>
      <c r="V536" s="14"/>
      <c r="W536" s="14"/>
      <c r="X536" s="14"/>
      <c r="Y536" s="14"/>
      <c r="Z536" s="14"/>
      <c r="AA536" s="18"/>
      <c r="AB536" s="19"/>
      <c r="AC536" s="19"/>
      <c r="AD536" s="19"/>
      <c r="AE536" s="19"/>
      <c r="AF536" s="18"/>
      <c r="AG536" s="19"/>
      <c r="AH536" s="19"/>
      <c r="AI536" s="19"/>
      <c r="AJ536" s="19"/>
      <c r="AK536" s="18"/>
      <c r="AL536" s="19"/>
      <c r="AM536" s="19"/>
      <c r="AN536" s="19"/>
      <c r="AO536" s="19"/>
      <c r="AP536" s="18"/>
      <c r="AQ536" s="19"/>
      <c r="AR536" s="19"/>
      <c r="AS536" s="19"/>
      <c r="AT536" s="19"/>
      <c r="AU536" s="18"/>
      <c r="AV536" s="19"/>
      <c r="AW536" s="19"/>
      <c r="AX536" s="19"/>
      <c r="AY536" s="19"/>
      <c r="AZ536" s="18"/>
      <c r="BA536" s="19"/>
      <c r="BB536" s="19"/>
      <c r="BC536" s="19"/>
      <c r="BD536" s="19"/>
      <c r="BE536" s="18"/>
      <c r="BF536" s="19"/>
      <c r="BG536" s="19"/>
      <c r="BH536" s="19"/>
      <c r="BI536" s="19"/>
      <c r="BJ536" s="18"/>
      <c r="BK536" s="19"/>
      <c r="BL536" s="19"/>
      <c r="BM536" s="19"/>
      <c r="BN536" s="19"/>
      <c r="BO536" s="18"/>
      <c r="BP536" s="19"/>
      <c r="BQ536" s="19"/>
      <c r="BR536" s="19"/>
      <c r="BS536" s="19"/>
      <c r="BT536" s="18"/>
      <c r="BU536" s="19"/>
      <c r="BV536" s="19"/>
      <c r="BW536" s="19"/>
      <c r="BX536" s="19"/>
      <c r="BY536" s="18"/>
      <c r="BZ536" s="19"/>
      <c r="CA536" s="19"/>
      <c r="CB536" s="19"/>
      <c r="CC536" s="19"/>
      <c r="CD536" s="18"/>
      <c r="CE536" s="19"/>
      <c r="CF536" s="19"/>
      <c r="CG536" s="19"/>
      <c r="CH536" s="19"/>
      <c r="CI536" s="18"/>
      <c r="CJ536" s="19"/>
      <c r="CK536" s="19"/>
      <c r="CL536" s="19"/>
      <c r="CM536" s="19"/>
      <c r="CN536" s="687"/>
      <c r="CO536" s="687"/>
      <c r="CP536" s="687"/>
      <c r="CQ536" s="687"/>
      <c r="CR536" s="687"/>
      <c r="CS536" s="687"/>
      <c r="CT536" s="14"/>
    </row>
    <row r="537" spans="1:98" s="4" customFormat="1" x14ac:dyDescent="0.3">
      <c r="A537" s="14"/>
      <c r="B537" s="292"/>
      <c r="C537" s="292"/>
      <c r="D537" s="14"/>
      <c r="E537" s="14"/>
      <c r="F537" s="703"/>
      <c r="G537" s="14"/>
      <c r="H537" s="14"/>
      <c r="I537" s="14"/>
      <c r="J537" s="14"/>
      <c r="K537" s="14"/>
      <c r="L537" s="14"/>
      <c r="M537" s="14"/>
      <c r="N537" s="703"/>
      <c r="O537" s="111"/>
      <c r="P537" s="703"/>
      <c r="Q537" s="14"/>
      <c r="R537" s="14"/>
      <c r="S537" s="14"/>
      <c r="T537" s="14"/>
      <c r="U537" s="14"/>
      <c r="V537" s="14"/>
      <c r="W537" s="14"/>
      <c r="X537" s="14"/>
      <c r="Y537" s="14"/>
      <c r="Z537" s="14"/>
      <c r="AA537" s="18"/>
      <c r="AB537" s="19"/>
      <c r="AC537" s="19"/>
      <c r="AD537" s="19"/>
      <c r="AE537" s="19"/>
      <c r="AF537" s="18"/>
      <c r="AG537" s="19"/>
      <c r="AH537" s="19"/>
      <c r="AI537" s="19"/>
      <c r="AJ537" s="19"/>
      <c r="AK537" s="18"/>
      <c r="AL537" s="19"/>
      <c r="AM537" s="19"/>
      <c r="AN537" s="19"/>
      <c r="AO537" s="19"/>
      <c r="AP537" s="18"/>
      <c r="AQ537" s="19"/>
      <c r="AR537" s="19"/>
      <c r="AS537" s="19"/>
      <c r="AT537" s="19"/>
      <c r="AU537" s="18"/>
      <c r="AV537" s="19"/>
      <c r="AW537" s="19"/>
      <c r="AX537" s="19"/>
      <c r="AY537" s="19"/>
      <c r="AZ537" s="18"/>
      <c r="BA537" s="19"/>
      <c r="BB537" s="19"/>
      <c r="BC537" s="19"/>
      <c r="BD537" s="19"/>
      <c r="BE537" s="18"/>
      <c r="BF537" s="19"/>
      <c r="BG537" s="19"/>
      <c r="BH537" s="19"/>
      <c r="BI537" s="19"/>
      <c r="BJ537" s="18"/>
      <c r="BK537" s="19"/>
      <c r="BL537" s="19"/>
      <c r="BM537" s="19"/>
      <c r="BN537" s="19"/>
      <c r="BO537" s="18"/>
      <c r="BP537" s="19"/>
      <c r="BQ537" s="19"/>
      <c r="BR537" s="19"/>
      <c r="BS537" s="19"/>
      <c r="BT537" s="18"/>
      <c r="BU537" s="19"/>
      <c r="BV537" s="19"/>
      <c r="BW537" s="19"/>
      <c r="BX537" s="19"/>
      <c r="BY537" s="18"/>
      <c r="BZ537" s="19"/>
      <c r="CA537" s="19"/>
      <c r="CB537" s="19"/>
      <c r="CC537" s="19"/>
      <c r="CD537" s="18"/>
      <c r="CE537" s="19"/>
      <c r="CF537" s="19"/>
      <c r="CG537" s="19"/>
      <c r="CH537" s="19"/>
      <c r="CI537" s="18"/>
      <c r="CJ537" s="19"/>
      <c r="CK537" s="19"/>
      <c r="CL537" s="19"/>
      <c r="CM537" s="19"/>
      <c r="CN537" s="687"/>
      <c r="CO537" s="687"/>
      <c r="CP537" s="687"/>
      <c r="CQ537" s="687"/>
      <c r="CR537" s="687"/>
      <c r="CS537" s="687"/>
      <c r="CT537" s="14"/>
    </row>
    <row r="538" spans="1:98" s="4" customFormat="1" x14ac:dyDescent="0.3">
      <c r="A538" s="14"/>
      <c r="B538" s="292"/>
      <c r="C538" s="292"/>
      <c r="D538" s="14"/>
      <c r="E538" s="14"/>
      <c r="F538" s="703"/>
      <c r="G538" s="14"/>
      <c r="H538" s="14"/>
      <c r="I538" s="14"/>
      <c r="J538" s="14"/>
      <c r="K538" s="14"/>
      <c r="L538" s="14"/>
      <c r="M538" s="14"/>
      <c r="N538" s="703"/>
      <c r="O538" s="111"/>
      <c r="P538" s="703"/>
      <c r="Q538" s="14"/>
      <c r="R538" s="14"/>
      <c r="S538" s="14"/>
      <c r="T538" s="14"/>
      <c r="U538" s="14"/>
      <c r="V538" s="14"/>
      <c r="W538" s="14"/>
      <c r="X538" s="14"/>
      <c r="Y538" s="14"/>
      <c r="Z538" s="14"/>
      <c r="AA538" s="18"/>
      <c r="AB538" s="19"/>
      <c r="AC538" s="19"/>
      <c r="AD538" s="19"/>
      <c r="AE538" s="19"/>
      <c r="AF538" s="18"/>
      <c r="AG538" s="19"/>
      <c r="AH538" s="19"/>
      <c r="AI538" s="19"/>
      <c r="AJ538" s="19"/>
      <c r="AK538" s="18"/>
      <c r="AL538" s="19"/>
      <c r="AM538" s="19"/>
      <c r="AN538" s="19"/>
      <c r="AO538" s="19"/>
      <c r="AP538" s="18"/>
      <c r="AQ538" s="19"/>
      <c r="AR538" s="19"/>
      <c r="AS538" s="19"/>
      <c r="AT538" s="19"/>
      <c r="AU538" s="18"/>
      <c r="AV538" s="19"/>
      <c r="AW538" s="19"/>
      <c r="AX538" s="19"/>
      <c r="AY538" s="19"/>
      <c r="AZ538" s="18"/>
      <c r="BA538" s="19"/>
      <c r="BB538" s="19"/>
      <c r="BC538" s="19"/>
      <c r="BD538" s="19"/>
      <c r="BE538" s="18"/>
      <c r="BF538" s="19"/>
      <c r="BG538" s="19"/>
      <c r="BH538" s="19"/>
      <c r="BI538" s="19"/>
      <c r="BJ538" s="18"/>
      <c r="BK538" s="19"/>
      <c r="BL538" s="19"/>
      <c r="BM538" s="19"/>
      <c r="BN538" s="19"/>
      <c r="BO538" s="18"/>
      <c r="BP538" s="19"/>
      <c r="BQ538" s="19"/>
      <c r="BR538" s="19"/>
      <c r="BS538" s="19"/>
      <c r="BT538" s="18"/>
      <c r="BU538" s="19"/>
      <c r="BV538" s="19"/>
      <c r="BW538" s="19"/>
      <c r="BX538" s="19"/>
      <c r="BY538" s="18"/>
      <c r="BZ538" s="19"/>
      <c r="CA538" s="19"/>
      <c r="CB538" s="19"/>
      <c r="CC538" s="19"/>
      <c r="CD538" s="18"/>
      <c r="CE538" s="19"/>
      <c r="CF538" s="19"/>
      <c r="CG538" s="19"/>
      <c r="CH538" s="19"/>
      <c r="CI538" s="18"/>
      <c r="CJ538" s="19"/>
      <c r="CK538" s="19"/>
      <c r="CL538" s="19"/>
      <c r="CM538" s="19"/>
      <c r="CN538" s="687"/>
      <c r="CO538" s="687"/>
      <c r="CP538" s="687"/>
      <c r="CQ538" s="687"/>
      <c r="CR538" s="687"/>
      <c r="CS538" s="687"/>
      <c r="CT538" s="14"/>
    </row>
    <row r="539" spans="1:98" s="4" customFormat="1" x14ac:dyDescent="0.3">
      <c r="A539" s="14"/>
      <c r="B539" s="292"/>
      <c r="C539" s="292"/>
      <c r="D539" s="14"/>
      <c r="E539" s="14"/>
      <c r="F539" s="703"/>
      <c r="G539" s="14"/>
      <c r="H539" s="14"/>
      <c r="I539" s="14"/>
      <c r="J539" s="14"/>
      <c r="K539" s="14"/>
      <c r="L539" s="14"/>
      <c r="M539" s="14"/>
      <c r="N539" s="703"/>
      <c r="O539" s="111"/>
      <c r="P539" s="703"/>
      <c r="Q539" s="14"/>
      <c r="R539" s="14"/>
      <c r="S539" s="14"/>
      <c r="T539" s="14"/>
      <c r="U539" s="14"/>
      <c r="V539" s="14"/>
      <c r="W539" s="14"/>
      <c r="X539" s="14"/>
      <c r="Y539" s="14"/>
      <c r="Z539" s="14"/>
      <c r="AA539" s="18"/>
      <c r="AB539" s="19"/>
      <c r="AC539" s="19"/>
      <c r="AD539" s="19"/>
      <c r="AE539" s="19"/>
      <c r="AF539" s="18"/>
      <c r="AG539" s="19"/>
      <c r="AH539" s="19"/>
      <c r="AI539" s="19"/>
      <c r="AJ539" s="19"/>
      <c r="AK539" s="18"/>
      <c r="AL539" s="19"/>
      <c r="AM539" s="19"/>
      <c r="AN539" s="19"/>
      <c r="AO539" s="19"/>
      <c r="AP539" s="18"/>
      <c r="AQ539" s="19"/>
      <c r="AR539" s="19"/>
      <c r="AS539" s="19"/>
      <c r="AT539" s="19"/>
      <c r="AU539" s="18"/>
      <c r="AV539" s="19"/>
      <c r="AW539" s="19"/>
      <c r="AX539" s="19"/>
      <c r="AY539" s="19"/>
      <c r="AZ539" s="18"/>
      <c r="BA539" s="19"/>
      <c r="BB539" s="19"/>
      <c r="BC539" s="19"/>
      <c r="BD539" s="19"/>
      <c r="BE539" s="18"/>
      <c r="BF539" s="19"/>
      <c r="BG539" s="19"/>
      <c r="BH539" s="19"/>
      <c r="BI539" s="19"/>
      <c r="BJ539" s="18"/>
      <c r="BK539" s="19"/>
      <c r="BL539" s="19"/>
      <c r="BM539" s="19"/>
      <c r="BN539" s="19"/>
      <c r="BO539" s="18"/>
      <c r="BP539" s="19"/>
      <c r="BQ539" s="19"/>
      <c r="BR539" s="19"/>
      <c r="BS539" s="19"/>
      <c r="BT539" s="18"/>
      <c r="BU539" s="19"/>
      <c r="BV539" s="19"/>
      <c r="BW539" s="19"/>
      <c r="BX539" s="19"/>
      <c r="BY539" s="18"/>
      <c r="BZ539" s="19"/>
      <c r="CA539" s="19"/>
      <c r="CB539" s="19"/>
      <c r="CC539" s="19"/>
      <c r="CD539" s="18"/>
      <c r="CE539" s="19"/>
      <c r="CF539" s="19"/>
      <c r="CG539" s="19"/>
      <c r="CH539" s="19"/>
      <c r="CI539" s="18"/>
      <c r="CJ539" s="19"/>
      <c r="CK539" s="19"/>
      <c r="CL539" s="19"/>
      <c r="CM539" s="19"/>
      <c r="CN539" s="687"/>
      <c r="CO539" s="687"/>
      <c r="CP539" s="687"/>
      <c r="CQ539" s="687"/>
      <c r="CR539" s="687"/>
      <c r="CS539" s="687"/>
      <c r="CT539" s="14"/>
    </row>
    <row r="540" spans="1:98" s="4" customFormat="1" x14ac:dyDescent="0.3">
      <c r="A540" s="14"/>
      <c r="B540" s="292"/>
      <c r="C540" s="292"/>
      <c r="D540" s="14"/>
      <c r="E540" s="14"/>
      <c r="F540" s="703"/>
      <c r="G540" s="14"/>
      <c r="H540" s="14"/>
      <c r="I540" s="14"/>
      <c r="J540" s="14"/>
      <c r="K540" s="14"/>
      <c r="L540" s="14"/>
      <c r="M540" s="14"/>
      <c r="N540" s="703"/>
      <c r="O540" s="111"/>
      <c r="P540" s="703"/>
      <c r="Q540" s="14"/>
      <c r="R540" s="14"/>
      <c r="S540" s="14"/>
      <c r="T540" s="14"/>
      <c r="U540" s="14"/>
      <c r="V540" s="14"/>
      <c r="W540" s="14"/>
      <c r="X540" s="14"/>
      <c r="Y540" s="14"/>
      <c r="Z540" s="14"/>
      <c r="AA540" s="18"/>
      <c r="AB540" s="19"/>
      <c r="AC540" s="19"/>
      <c r="AD540" s="19"/>
      <c r="AE540" s="19"/>
      <c r="AF540" s="18"/>
      <c r="AG540" s="19"/>
      <c r="AH540" s="19"/>
      <c r="AI540" s="19"/>
      <c r="AJ540" s="19"/>
      <c r="AK540" s="18"/>
      <c r="AL540" s="19"/>
      <c r="AM540" s="19"/>
      <c r="AN540" s="19"/>
      <c r="AO540" s="19"/>
      <c r="AP540" s="18"/>
      <c r="AQ540" s="19"/>
      <c r="AR540" s="19"/>
      <c r="AS540" s="19"/>
      <c r="AT540" s="19"/>
      <c r="AU540" s="18"/>
      <c r="AV540" s="19"/>
      <c r="AW540" s="19"/>
      <c r="AX540" s="19"/>
      <c r="AY540" s="19"/>
      <c r="AZ540" s="18"/>
      <c r="BA540" s="19"/>
      <c r="BB540" s="19"/>
      <c r="BC540" s="19"/>
      <c r="BD540" s="19"/>
      <c r="BE540" s="18"/>
      <c r="BF540" s="19"/>
      <c r="BG540" s="19"/>
      <c r="BH540" s="19"/>
      <c r="BI540" s="19"/>
      <c r="BJ540" s="18"/>
      <c r="BK540" s="19"/>
      <c r="BL540" s="19"/>
      <c r="BM540" s="19"/>
      <c r="BN540" s="19"/>
      <c r="BO540" s="18"/>
      <c r="BP540" s="19"/>
      <c r="BQ540" s="19"/>
      <c r="BR540" s="19"/>
      <c r="BS540" s="19"/>
      <c r="BT540" s="18"/>
      <c r="BU540" s="19"/>
      <c r="BV540" s="19"/>
      <c r="BW540" s="19"/>
      <c r="BX540" s="19"/>
      <c r="BY540" s="18"/>
      <c r="BZ540" s="19"/>
      <c r="CA540" s="19"/>
      <c r="CB540" s="19"/>
      <c r="CC540" s="19"/>
      <c r="CD540" s="18"/>
      <c r="CE540" s="19"/>
      <c r="CF540" s="19"/>
      <c r="CG540" s="19"/>
      <c r="CH540" s="19"/>
      <c r="CI540" s="18"/>
      <c r="CJ540" s="19"/>
      <c r="CK540" s="19"/>
      <c r="CL540" s="19"/>
      <c r="CM540" s="19"/>
      <c r="CN540" s="687"/>
      <c r="CO540" s="687"/>
      <c r="CP540" s="687"/>
      <c r="CQ540" s="687"/>
      <c r="CR540" s="687"/>
      <c r="CS540" s="687"/>
      <c r="CT540" s="14"/>
    </row>
    <row r="541" spans="1:98" s="4" customFormat="1" x14ac:dyDescent="0.3">
      <c r="A541" s="14"/>
      <c r="B541" s="292"/>
      <c r="C541" s="292"/>
      <c r="D541" s="14"/>
      <c r="E541" s="14"/>
      <c r="F541" s="703"/>
      <c r="G541" s="14"/>
      <c r="H541" s="14"/>
      <c r="I541" s="14"/>
      <c r="J541" s="14"/>
      <c r="K541" s="14"/>
      <c r="L541" s="14"/>
      <c r="M541" s="14"/>
      <c r="N541" s="703"/>
      <c r="O541" s="111"/>
      <c r="P541" s="703"/>
      <c r="Q541" s="14"/>
      <c r="R541" s="14"/>
      <c r="S541" s="14"/>
      <c r="T541" s="14"/>
      <c r="U541" s="14"/>
      <c r="V541" s="14"/>
      <c r="W541" s="14"/>
      <c r="X541" s="14"/>
      <c r="Y541" s="14"/>
      <c r="Z541" s="14"/>
      <c r="AA541" s="18"/>
      <c r="AB541" s="19"/>
      <c r="AC541" s="19"/>
      <c r="AD541" s="19"/>
      <c r="AE541" s="19"/>
      <c r="AF541" s="18"/>
      <c r="AG541" s="19"/>
      <c r="AH541" s="19"/>
      <c r="AI541" s="19"/>
      <c r="AJ541" s="19"/>
      <c r="AK541" s="18"/>
      <c r="AL541" s="19"/>
      <c r="AM541" s="19"/>
      <c r="AN541" s="19"/>
      <c r="AO541" s="19"/>
      <c r="AP541" s="18"/>
      <c r="AQ541" s="19"/>
      <c r="AR541" s="19"/>
      <c r="AS541" s="19"/>
      <c r="AT541" s="19"/>
      <c r="AU541" s="18"/>
      <c r="AV541" s="19"/>
      <c r="AW541" s="19"/>
      <c r="AX541" s="19"/>
      <c r="AY541" s="19"/>
      <c r="AZ541" s="18"/>
      <c r="BA541" s="19"/>
      <c r="BB541" s="19"/>
      <c r="BC541" s="19"/>
      <c r="BD541" s="19"/>
      <c r="BE541" s="18"/>
      <c r="BF541" s="19"/>
      <c r="BG541" s="19"/>
      <c r="BH541" s="19"/>
      <c r="BI541" s="19"/>
      <c r="BJ541" s="18"/>
      <c r="BK541" s="19"/>
      <c r="BL541" s="19"/>
      <c r="BM541" s="19"/>
      <c r="BN541" s="19"/>
      <c r="BO541" s="18"/>
      <c r="BP541" s="19"/>
      <c r="BQ541" s="19"/>
      <c r="BR541" s="19"/>
      <c r="BS541" s="19"/>
      <c r="BT541" s="18"/>
      <c r="BU541" s="19"/>
      <c r="BV541" s="19"/>
      <c r="BW541" s="19"/>
      <c r="BX541" s="19"/>
      <c r="BY541" s="18"/>
      <c r="BZ541" s="19"/>
      <c r="CA541" s="19"/>
      <c r="CB541" s="19"/>
      <c r="CC541" s="19"/>
      <c r="CD541" s="18"/>
      <c r="CE541" s="19"/>
      <c r="CF541" s="19"/>
      <c r="CG541" s="19"/>
      <c r="CH541" s="19"/>
      <c r="CI541" s="18"/>
      <c r="CJ541" s="19"/>
      <c r="CK541" s="19"/>
      <c r="CL541" s="19"/>
      <c r="CM541" s="19"/>
      <c r="CN541" s="687"/>
      <c r="CO541" s="687"/>
      <c r="CP541" s="687"/>
      <c r="CQ541" s="687"/>
      <c r="CR541" s="687"/>
      <c r="CS541" s="687"/>
      <c r="CT541" s="14"/>
    </row>
    <row r="542" spans="1:98" s="4" customFormat="1" x14ac:dyDescent="0.3">
      <c r="A542" s="14"/>
      <c r="B542" s="292"/>
      <c r="C542" s="292"/>
      <c r="D542" s="14"/>
      <c r="E542" s="14"/>
      <c r="F542" s="703"/>
      <c r="G542" s="14"/>
      <c r="H542" s="14"/>
      <c r="I542" s="14"/>
      <c r="J542" s="14"/>
      <c r="K542" s="14"/>
      <c r="L542" s="14"/>
      <c r="M542" s="14"/>
      <c r="N542" s="703"/>
      <c r="O542" s="111"/>
      <c r="P542" s="703"/>
      <c r="Q542" s="14"/>
      <c r="R542" s="14"/>
      <c r="S542" s="14"/>
      <c r="T542" s="14"/>
      <c r="U542" s="14"/>
      <c r="V542" s="14"/>
      <c r="W542" s="14"/>
      <c r="X542" s="14"/>
      <c r="Y542" s="14"/>
      <c r="Z542" s="14"/>
      <c r="AA542" s="18"/>
      <c r="AB542" s="19"/>
      <c r="AC542" s="19"/>
      <c r="AD542" s="19"/>
      <c r="AE542" s="19"/>
      <c r="AF542" s="18"/>
      <c r="AG542" s="19"/>
      <c r="AH542" s="19"/>
      <c r="AI542" s="19"/>
      <c r="AJ542" s="19"/>
      <c r="AK542" s="18"/>
      <c r="AL542" s="19"/>
      <c r="AM542" s="19"/>
      <c r="AN542" s="19"/>
      <c r="AO542" s="19"/>
      <c r="AP542" s="18"/>
      <c r="AQ542" s="19"/>
      <c r="AR542" s="19"/>
      <c r="AS542" s="19"/>
      <c r="AT542" s="19"/>
      <c r="AU542" s="18"/>
      <c r="AV542" s="19"/>
      <c r="AW542" s="19"/>
      <c r="AX542" s="19"/>
      <c r="AY542" s="19"/>
      <c r="AZ542" s="18"/>
      <c r="BA542" s="19"/>
      <c r="BB542" s="19"/>
      <c r="BC542" s="19"/>
      <c r="BD542" s="19"/>
      <c r="BE542" s="18"/>
      <c r="BF542" s="19"/>
      <c r="BG542" s="19"/>
      <c r="BH542" s="19"/>
      <c r="BI542" s="19"/>
      <c r="BJ542" s="18"/>
      <c r="BK542" s="19"/>
      <c r="BL542" s="19"/>
      <c r="BM542" s="19"/>
      <c r="BN542" s="19"/>
      <c r="BO542" s="18"/>
      <c r="BP542" s="19"/>
      <c r="BQ542" s="19"/>
      <c r="BR542" s="19"/>
      <c r="BS542" s="19"/>
      <c r="BT542" s="18"/>
      <c r="BU542" s="19"/>
      <c r="BV542" s="19"/>
      <c r="BW542" s="19"/>
      <c r="BX542" s="19"/>
      <c r="BY542" s="18"/>
      <c r="BZ542" s="19"/>
      <c r="CA542" s="19"/>
      <c r="CB542" s="19"/>
      <c r="CC542" s="19"/>
      <c r="CD542" s="18"/>
      <c r="CE542" s="19"/>
      <c r="CF542" s="19"/>
      <c r="CG542" s="19"/>
      <c r="CH542" s="19"/>
      <c r="CI542" s="18"/>
      <c r="CJ542" s="19"/>
      <c r="CK542" s="19"/>
      <c r="CL542" s="19"/>
      <c r="CM542" s="19"/>
      <c r="CN542" s="687"/>
      <c r="CO542" s="687"/>
      <c r="CP542" s="687"/>
      <c r="CQ542" s="687"/>
      <c r="CR542" s="687"/>
      <c r="CS542" s="687"/>
      <c r="CT542" s="14"/>
    </row>
    <row r="543" spans="1:98" s="4" customFormat="1" x14ac:dyDescent="0.3">
      <c r="A543" s="14"/>
      <c r="B543" s="292"/>
      <c r="C543" s="292"/>
      <c r="D543" s="14"/>
      <c r="E543" s="14"/>
      <c r="F543" s="703"/>
      <c r="G543" s="14"/>
      <c r="H543" s="14"/>
      <c r="I543" s="14"/>
      <c r="J543" s="14"/>
      <c r="K543" s="14"/>
      <c r="L543" s="14"/>
      <c r="M543" s="14"/>
      <c r="N543" s="703"/>
      <c r="O543" s="111"/>
      <c r="P543" s="703"/>
      <c r="Q543" s="14"/>
      <c r="R543" s="14"/>
      <c r="S543" s="14"/>
      <c r="T543" s="14"/>
      <c r="U543" s="14"/>
      <c r="V543" s="14"/>
      <c r="W543" s="14"/>
      <c r="X543" s="14"/>
      <c r="Y543" s="14"/>
      <c r="Z543" s="14"/>
      <c r="AA543" s="18"/>
      <c r="AB543" s="19"/>
      <c r="AC543" s="19"/>
      <c r="AD543" s="19"/>
      <c r="AE543" s="19"/>
      <c r="AF543" s="18"/>
      <c r="AG543" s="19"/>
      <c r="AH543" s="19"/>
      <c r="AI543" s="19"/>
      <c r="AJ543" s="19"/>
      <c r="AK543" s="18"/>
      <c r="AL543" s="19"/>
      <c r="AM543" s="19"/>
      <c r="AN543" s="19"/>
      <c r="AO543" s="19"/>
      <c r="AP543" s="18"/>
      <c r="AQ543" s="19"/>
      <c r="AR543" s="19"/>
      <c r="AS543" s="19"/>
      <c r="AT543" s="19"/>
      <c r="AU543" s="18"/>
      <c r="AV543" s="19"/>
      <c r="AW543" s="19"/>
      <c r="AX543" s="19"/>
      <c r="AY543" s="19"/>
      <c r="AZ543" s="18"/>
      <c r="BA543" s="19"/>
      <c r="BB543" s="19"/>
      <c r="BC543" s="19"/>
      <c r="BD543" s="19"/>
      <c r="BE543" s="18"/>
      <c r="BF543" s="19"/>
      <c r="BG543" s="19"/>
      <c r="BH543" s="19"/>
      <c r="BI543" s="19"/>
      <c r="BJ543" s="18"/>
      <c r="BK543" s="19"/>
      <c r="BL543" s="19"/>
      <c r="BM543" s="19"/>
      <c r="BN543" s="19"/>
      <c r="BO543" s="18"/>
      <c r="BP543" s="19"/>
      <c r="BQ543" s="19"/>
      <c r="BR543" s="19"/>
      <c r="BS543" s="19"/>
      <c r="BT543" s="18"/>
      <c r="BU543" s="19"/>
      <c r="BV543" s="19"/>
      <c r="BW543" s="19"/>
      <c r="BX543" s="19"/>
      <c r="BY543" s="18"/>
      <c r="BZ543" s="19"/>
      <c r="CA543" s="19"/>
      <c r="CB543" s="19"/>
      <c r="CC543" s="19"/>
      <c r="CD543" s="18"/>
      <c r="CE543" s="19"/>
      <c r="CF543" s="19"/>
      <c r="CG543" s="19"/>
      <c r="CH543" s="19"/>
      <c r="CI543" s="18"/>
      <c r="CJ543" s="19"/>
      <c r="CK543" s="19"/>
      <c r="CL543" s="19"/>
      <c r="CM543" s="19"/>
      <c r="CN543" s="687"/>
      <c r="CO543" s="687"/>
      <c r="CP543" s="687"/>
      <c r="CQ543" s="687"/>
      <c r="CR543" s="687"/>
      <c r="CS543" s="687"/>
      <c r="CT543" s="14"/>
    </row>
    <row r="544" spans="1:98" s="4" customFormat="1" x14ac:dyDescent="0.3">
      <c r="A544" s="14"/>
      <c r="B544" s="292"/>
      <c r="C544" s="292"/>
      <c r="D544" s="14"/>
      <c r="E544" s="14"/>
      <c r="F544" s="703"/>
      <c r="G544" s="14"/>
      <c r="H544" s="14"/>
      <c r="I544" s="14"/>
      <c r="J544" s="14"/>
      <c r="K544" s="14"/>
      <c r="L544" s="14"/>
      <c r="M544" s="14"/>
      <c r="N544" s="703"/>
      <c r="O544" s="111"/>
      <c r="P544" s="703"/>
      <c r="Q544" s="14"/>
      <c r="R544" s="14"/>
      <c r="S544" s="14"/>
      <c r="T544" s="14"/>
      <c r="U544" s="14"/>
      <c r="V544" s="14"/>
      <c r="W544" s="14"/>
      <c r="X544" s="14"/>
      <c r="Y544" s="14"/>
      <c r="Z544" s="14"/>
      <c r="AA544" s="18"/>
      <c r="AB544" s="19"/>
      <c r="AC544" s="19"/>
      <c r="AD544" s="19"/>
      <c r="AE544" s="19"/>
      <c r="AF544" s="18"/>
      <c r="AG544" s="19"/>
      <c r="AH544" s="19"/>
      <c r="AI544" s="19"/>
      <c r="AJ544" s="19"/>
      <c r="AK544" s="18"/>
      <c r="AL544" s="19"/>
      <c r="AM544" s="19"/>
      <c r="AN544" s="19"/>
      <c r="AO544" s="19"/>
      <c r="AP544" s="18"/>
      <c r="AQ544" s="19"/>
      <c r="AR544" s="19"/>
      <c r="AS544" s="19"/>
      <c r="AT544" s="19"/>
      <c r="AU544" s="18"/>
      <c r="AV544" s="19"/>
      <c r="AW544" s="19"/>
      <c r="AX544" s="19"/>
      <c r="AY544" s="19"/>
      <c r="AZ544" s="18"/>
      <c r="BA544" s="19"/>
      <c r="BB544" s="19"/>
      <c r="BC544" s="19"/>
      <c r="BD544" s="19"/>
      <c r="BE544" s="18"/>
      <c r="BF544" s="19"/>
      <c r="BG544" s="19"/>
      <c r="BH544" s="19"/>
      <c r="BI544" s="19"/>
      <c r="BJ544" s="18"/>
      <c r="BK544" s="19"/>
      <c r="BL544" s="19"/>
      <c r="BM544" s="19"/>
      <c r="BN544" s="19"/>
      <c r="BO544" s="18"/>
      <c r="BP544" s="19"/>
      <c r="BQ544" s="19"/>
      <c r="BR544" s="19"/>
      <c r="BS544" s="19"/>
      <c r="BT544" s="18"/>
      <c r="BU544" s="19"/>
      <c r="BV544" s="19"/>
      <c r="BW544" s="19"/>
      <c r="BX544" s="19"/>
      <c r="BY544" s="18"/>
      <c r="BZ544" s="19"/>
      <c r="CA544" s="19"/>
      <c r="CB544" s="19"/>
      <c r="CC544" s="19"/>
      <c r="CD544" s="18"/>
      <c r="CE544" s="19"/>
      <c r="CF544" s="19"/>
      <c r="CG544" s="19"/>
      <c r="CH544" s="19"/>
      <c r="CI544" s="18"/>
      <c r="CJ544" s="19"/>
      <c r="CK544" s="19"/>
      <c r="CL544" s="19"/>
      <c r="CM544" s="19"/>
      <c r="CN544" s="687"/>
      <c r="CO544" s="687"/>
      <c r="CP544" s="687"/>
      <c r="CQ544" s="687"/>
      <c r="CR544" s="687"/>
      <c r="CS544" s="687"/>
      <c r="CT544" s="14"/>
    </row>
    <row r="545" spans="1:98" s="4" customFormat="1" x14ac:dyDescent="0.3">
      <c r="A545" s="14"/>
      <c r="B545" s="292"/>
      <c r="C545" s="292"/>
      <c r="D545" s="14"/>
      <c r="E545" s="14"/>
      <c r="F545" s="703"/>
      <c r="G545" s="14"/>
      <c r="H545" s="14"/>
      <c r="I545" s="14"/>
      <c r="J545" s="14"/>
      <c r="K545" s="14"/>
      <c r="L545" s="14"/>
      <c r="M545" s="14"/>
      <c r="N545" s="703"/>
      <c r="O545" s="111"/>
      <c r="P545" s="703"/>
      <c r="Q545" s="14"/>
      <c r="R545" s="14"/>
      <c r="S545" s="14"/>
      <c r="T545" s="14"/>
      <c r="U545" s="14"/>
      <c r="V545" s="14"/>
      <c r="W545" s="14"/>
      <c r="X545" s="14"/>
      <c r="Y545" s="14"/>
      <c r="Z545" s="14"/>
      <c r="AA545" s="18"/>
      <c r="AB545" s="19"/>
      <c r="AC545" s="19"/>
      <c r="AD545" s="19"/>
      <c r="AE545" s="19"/>
      <c r="AF545" s="18"/>
      <c r="AG545" s="19"/>
      <c r="AH545" s="19"/>
      <c r="AI545" s="19"/>
      <c r="AJ545" s="19"/>
      <c r="AK545" s="18"/>
      <c r="AL545" s="19"/>
      <c r="AM545" s="19"/>
      <c r="AN545" s="19"/>
      <c r="AO545" s="19"/>
      <c r="AP545" s="18"/>
      <c r="AQ545" s="19"/>
      <c r="AR545" s="19"/>
      <c r="AS545" s="19"/>
      <c r="AT545" s="19"/>
      <c r="AU545" s="18"/>
      <c r="AV545" s="19"/>
      <c r="AW545" s="19"/>
      <c r="AX545" s="19"/>
      <c r="AY545" s="19"/>
      <c r="AZ545" s="18"/>
      <c r="BA545" s="19"/>
      <c r="BB545" s="19"/>
      <c r="BC545" s="19"/>
      <c r="BD545" s="19"/>
      <c r="BE545" s="18"/>
      <c r="BF545" s="19"/>
      <c r="BG545" s="19"/>
      <c r="BH545" s="19"/>
      <c r="BI545" s="19"/>
      <c r="BJ545" s="18"/>
      <c r="BK545" s="19"/>
      <c r="BL545" s="19"/>
      <c r="BM545" s="19"/>
      <c r="BN545" s="19"/>
      <c r="BO545" s="18"/>
      <c r="BP545" s="19"/>
      <c r="BQ545" s="19"/>
      <c r="BR545" s="19"/>
      <c r="BS545" s="19"/>
      <c r="BT545" s="18"/>
      <c r="BU545" s="19"/>
      <c r="BV545" s="19"/>
      <c r="BW545" s="19"/>
      <c r="BX545" s="19"/>
      <c r="BY545" s="18"/>
      <c r="BZ545" s="19"/>
      <c r="CA545" s="19"/>
      <c r="CB545" s="19"/>
      <c r="CC545" s="19"/>
      <c r="CD545" s="18"/>
      <c r="CE545" s="19"/>
      <c r="CF545" s="19"/>
      <c r="CG545" s="19"/>
      <c r="CH545" s="19"/>
      <c r="CI545" s="18"/>
      <c r="CJ545" s="19"/>
      <c r="CK545" s="19"/>
      <c r="CL545" s="19"/>
      <c r="CM545" s="19"/>
      <c r="CN545" s="687"/>
      <c r="CO545" s="687"/>
      <c r="CP545" s="687"/>
      <c r="CQ545" s="687"/>
      <c r="CR545" s="687"/>
      <c r="CS545" s="687"/>
      <c r="CT545" s="14"/>
    </row>
    <row r="546" spans="1:98" s="4" customFormat="1" x14ac:dyDescent="0.3">
      <c r="A546" s="14"/>
      <c r="B546" s="292"/>
      <c r="C546" s="292"/>
      <c r="D546" s="14"/>
      <c r="E546" s="14"/>
      <c r="F546" s="703"/>
      <c r="G546" s="14"/>
      <c r="H546" s="14"/>
      <c r="I546" s="14"/>
      <c r="J546" s="14"/>
      <c r="K546" s="14"/>
      <c r="L546" s="14"/>
      <c r="M546" s="14"/>
      <c r="N546" s="703"/>
      <c r="O546" s="111"/>
      <c r="P546" s="703"/>
      <c r="Q546" s="14"/>
      <c r="R546" s="14"/>
      <c r="S546" s="14"/>
      <c r="T546" s="14"/>
      <c r="U546" s="14"/>
      <c r="V546" s="14"/>
      <c r="W546" s="14"/>
      <c r="X546" s="14"/>
      <c r="Y546" s="14"/>
      <c r="Z546" s="14"/>
      <c r="AA546" s="18"/>
      <c r="AB546" s="19"/>
      <c r="AC546" s="19"/>
      <c r="AD546" s="19"/>
      <c r="AE546" s="19"/>
      <c r="AF546" s="18"/>
      <c r="AG546" s="19"/>
      <c r="AH546" s="19"/>
      <c r="AI546" s="19"/>
      <c r="AJ546" s="19"/>
      <c r="AK546" s="18"/>
      <c r="AL546" s="19"/>
      <c r="AM546" s="19"/>
      <c r="AN546" s="19"/>
      <c r="AO546" s="19"/>
      <c r="AP546" s="18"/>
      <c r="AQ546" s="19"/>
      <c r="AR546" s="19"/>
      <c r="AS546" s="19"/>
      <c r="AT546" s="19"/>
      <c r="AU546" s="18"/>
      <c r="AV546" s="19"/>
      <c r="AW546" s="19"/>
      <c r="AX546" s="19"/>
      <c r="AY546" s="19"/>
      <c r="AZ546" s="18"/>
      <c r="BA546" s="19"/>
      <c r="BB546" s="19"/>
      <c r="BC546" s="19"/>
      <c r="BD546" s="19"/>
      <c r="BE546" s="18"/>
      <c r="BF546" s="19"/>
      <c r="BG546" s="19"/>
      <c r="BH546" s="19"/>
      <c r="BI546" s="19"/>
      <c r="BJ546" s="18"/>
      <c r="BK546" s="19"/>
      <c r="BL546" s="19"/>
      <c r="BM546" s="19"/>
      <c r="BN546" s="19"/>
      <c r="BO546" s="18"/>
      <c r="BP546" s="19"/>
      <c r="BQ546" s="19"/>
      <c r="BR546" s="19"/>
      <c r="BS546" s="19"/>
      <c r="BT546" s="18"/>
      <c r="BU546" s="19"/>
      <c r="BV546" s="19"/>
      <c r="BW546" s="19"/>
      <c r="BX546" s="19"/>
      <c r="BY546" s="18"/>
      <c r="BZ546" s="19"/>
      <c r="CA546" s="19"/>
      <c r="CB546" s="19"/>
      <c r="CC546" s="19"/>
      <c r="CD546" s="18"/>
      <c r="CE546" s="19"/>
      <c r="CF546" s="19"/>
      <c r="CG546" s="19"/>
      <c r="CH546" s="19"/>
      <c r="CI546" s="18"/>
      <c r="CJ546" s="19"/>
      <c r="CK546" s="19"/>
      <c r="CL546" s="19"/>
      <c r="CM546" s="19"/>
      <c r="CN546" s="687"/>
      <c r="CO546" s="687"/>
      <c r="CP546" s="687"/>
      <c r="CQ546" s="687"/>
      <c r="CR546" s="687"/>
      <c r="CS546" s="687"/>
      <c r="CT546" s="14"/>
    </row>
    <row r="547" spans="1:98" s="4" customFormat="1" x14ac:dyDescent="0.3">
      <c r="A547" s="14"/>
      <c r="B547" s="292"/>
      <c r="C547" s="292"/>
      <c r="D547" s="14"/>
      <c r="E547" s="14"/>
      <c r="F547" s="703"/>
      <c r="G547" s="14"/>
      <c r="H547" s="14"/>
      <c r="I547" s="14"/>
      <c r="J547" s="14"/>
      <c r="K547" s="14"/>
      <c r="L547" s="14"/>
      <c r="M547" s="14"/>
      <c r="N547" s="703"/>
      <c r="O547" s="111"/>
      <c r="P547" s="703"/>
      <c r="Q547" s="14"/>
      <c r="R547" s="14"/>
      <c r="S547" s="14"/>
      <c r="T547" s="14"/>
      <c r="U547" s="14"/>
      <c r="V547" s="14"/>
      <c r="W547" s="14"/>
      <c r="X547" s="14"/>
      <c r="Y547" s="14"/>
      <c r="Z547" s="14"/>
      <c r="AA547" s="18"/>
      <c r="AB547" s="19"/>
      <c r="AC547" s="19"/>
      <c r="AD547" s="19"/>
      <c r="AE547" s="19"/>
      <c r="AF547" s="18"/>
      <c r="AG547" s="19"/>
      <c r="AH547" s="19"/>
      <c r="AI547" s="19"/>
      <c r="AJ547" s="19"/>
      <c r="AK547" s="18"/>
      <c r="AL547" s="19"/>
      <c r="AM547" s="19"/>
      <c r="AN547" s="19"/>
      <c r="AO547" s="19"/>
      <c r="AP547" s="18"/>
      <c r="AQ547" s="19"/>
      <c r="AR547" s="19"/>
      <c r="AS547" s="19"/>
      <c r="AT547" s="19"/>
      <c r="AU547" s="18"/>
      <c r="AV547" s="19"/>
      <c r="AW547" s="19"/>
      <c r="AX547" s="19"/>
      <c r="AY547" s="19"/>
      <c r="AZ547" s="18"/>
      <c r="BA547" s="19"/>
      <c r="BB547" s="19"/>
      <c r="BC547" s="19"/>
      <c r="BD547" s="19"/>
      <c r="BE547" s="18"/>
      <c r="BF547" s="19"/>
      <c r="BG547" s="19"/>
      <c r="BH547" s="19"/>
      <c r="BI547" s="19"/>
      <c r="BJ547" s="18"/>
      <c r="BK547" s="19"/>
      <c r="BL547" s="19"/>
      <c r="BM547" s="19"/>
      <c r="BN547" s="19"/>
      <c r="BO547" s="18"/>
      <c r="BP547" s="19"/>
      <c r="BQ547" s="19"/>
      <c r="BR547" s="19"/>
      <c r="BS547" s="19"/>
      <c r="BT547" s="18"/>
      <c r="BU547" s="19"/>
      <c r="BV547" s="19"/>
      <c r="BW547" s="19"/>
      <c r="BX547" s="19"/>
      <c r="BY547" s="18"/>
      <c r="BZ547" s="19"/>
      <c r="CA547" s="19"/>
      <c r="CB547" s="19"/>
      <c r="CC547" s="19"/>
      <c r="CD547" s="18"/>
      <c r="CE547" s="19"/>
      <c r="CF547" s="19"/>
      <c r="CG547" s="19"/>
      <c r="CH547" s="19"/>
      <c r="CI547" s="18"/>
      <c r="CJ547" s="19"/>
      <c r="CK547" s="19"/>
      <c r="CL547" s="19"/>
      <c r="CM547" s="19"/>
      <c r="CN547" s="687"/>
      <c r="CO547" s="687"/>
      <c r="CP547" s="687"/>
      <c r="CQ547" s="687"/>
      <c r="CR547" s="687"/>
      <c r="CS547" s="687"/>
      <c r="CT547" s="14"/>
    </row>
    <row r="548" spans="1:98" s="4" customFormat="1" x14ac:dyDescent="0.3">
      <c r="A548" s="14"/>
      <c r="B548" s="292"/>
      <c r="C548" s="292"/>
      <c r="D548" s="14"/>
      <c r="E548" s="14"/>
      <c r="F548" s="703"/>
      <c r="G548" s="14"/>
      <c r="H548" s="14"/>
      <c r="I548" s="14"/>
      <c r="J548" s="14"/>
      <c r="K548" s="14"/>
      <c r="L548" s="14"/>
      <c r="M548" s="14"/>
      <c r="N548" s="703"/>
      <c r="O548" s="111"/>
      <c r="P548" s="703"/>
      <c r="Q548" s="14"/>
      <c r="R548" s="14"/>
      <c r="S548" s="14"/>
      <c r="T548" s="14"/>
      <c r="U548" s="14"/>
      <c r="V548" s="14"/>
      <c r="W548" s="14"/>
      <c r="X548" s="14"/>
      <c r="Y548" s="14"/>
      <c r="Z548" s="14"/>
      <c r="AA548" s="18"/>
      <c r="AB548" s="19"/>
      <c r="AC548" s="19"/>
      <c r="AD548" s="19"/>
      <c r="AE548" s="19"/>
      <c r="AF548" s="18"/>
      <c r="AG548" s="19"/>
      <c r="AH548" s="19"/>
      <c r="AI548" s="19"/>
      <c r="AJ548" s="19"/>
      <c r="AK548" s="18"/>
      <c r="AL548" s="19"/>
      <c r="AM548" s="19"/>
      <c r="AN548" s="19"/>
      <c r="AO548" s="19"/>
      <c r="AP548" s="18"/>
      <c r="AQ548" s="19"/>
      <c r="AR548" s="19"/>
      <c r="AS548" s="19"/>
      <c r="AT548" s="19"/>
      <c r="AU548" s="18"/>
      <c r="AV548" s="19"/>
      <c r="AW548" s="19"/>
      <c r="AX548" s="19"/>
      <c r="AY548" s="19"/>
      <c r="AZ548" s="18"/>
      <c r="BA548" s="19"/>
      <c r="BB548" s="19"/>
      <c r="BC548" s="19"/>
      <c r="BD548" s="19"/>
      <c r="BE548" s="18"/>
      <c r="BF548" s="19"/>
      <c r="BG548" s="19"/>
      <c r="BH548" s="19"/>
      <c r="BI548" s="19"/>
      <c r="BJ548" s="18"/>
      <c r="BK548" s="19"/>
      <c r="BL548" s="19"/>
      <c r="BM548" s="19"/>
      <c r="BN548" s="19"/>
      <c r="BO548" s="18"/>
      <c r="BP548" s="19"/>
      <c r="BQ548" s="19"/>
      <c r="BR548" s="19"/>
      <c r="BS548" s="19"/>
      <c r="BT548" s="18"/>
      <c r="BU548" s="19"/>
      <c r="BV548" s="19"/>
      <c r="BW548" s="19"/>
      <c r="BX548" s="19"/>
      <c r="BY548" s="18"/>
      <c r="BZ548" s="19"/>
      <c r="CA548" s="19"/>
      <c r="CB548" s="19"/>
      <c r="CC548" s="19"/>
      <c r="CD548" s="18"/>
      <c r="CE548" s="19"/>
      <c r="CF548" s="19"/>
      <c r="CG548" s="19"/>
      <c r="CH548" s="19"/>
      <c r="CI548" s="18"/>
      <c r="CJ548" s="19"/>
      <c r="CK548" s="19"/>
      <c r="CL548" s="19"/>
      <c r="CM548" s="19"/>
      <c r="CN548" s="687"/>
      <c r="CO548" s="687"/>
      <c r="CP548" s="687"/>
      <c r="CQ548" s="687"/>
      <c r="CR548" s="687"/>
      <c r="CS548" s="687"/>
      <c r="CT548" s="14"/>
    </row>
    <row r="549" spans="1:98" s="4" customFormat="1" x14ac:dyDescent="0.3">
      <c r="A549" s="14"/>
      <c r="B549" s="292"/>
      <c r="C549" s="292"/>
      <c r="D549" s="14"/>
      <c r="E549" s="14"/>
      <c r="F549" s="703"/>
      <c r="G549" s="14"/>
      <c r="H549" s="14"/>
      <c r="I549" s="14"/>
      <c r="J549" s="14"/>
      <c r="K549" s="14"/>
      <c r="L549" s="14"/>
      <c r="M549" s="14"/>
      <c r="N549" s="703"/>
      <c r="O549" s="111"/>
      <c r="P549" s="703"/>
      <c r="Q549" s="14"/>
      <c r="R549" s="14"/>
      <c r="S549" s="14"/>
      <c r="T549" s="14"/>
      <c r="U549" s="14"/>
      <c r="V549" s="14"/>
      <c r="W549" s="14"/>
      <c r="X549" s="14"/>
      <c r="Y549" s="14"/>
      <c r="Z549" s="14"/>
      <c r="AA549" s="18"/>
      <c r="AB549" s="19"/>
      <c r="AC549" s="19"/>
      <c r="AD549" s="19"/>
      <c r="AE549" s="19"/>
      <c r="AF549" s="18"/>
      <c r="AG549" s="19"/>
      <c r="AH549" s="19"/>
      <c r="AI549" s="19"/>
      <c r="AJ549" s="19"/>
      <c r="AK549" s="18"/>
      <c r="AL549" s="19"/>
      <c r="AM549" s="19"/>
      <c r="AN549" s="19"/>
      <c r="AO549" s="19"/>
      <c r="AP549" s="18"/>
      <c r="AQ549" s="19"/>
      <c r="AR549" s="19"/>
      <c r="AS549" s="19"/>
      <c r="AT549" s="19"/>
      <c r="AU549" s="18"/>
      <c r="AV549" s="19"/>
      <c r="AW549" s="19"/>
      <c r="AX549" s="19"/>
      <c r="AY549" s="19"/>
      <c r="AZ549" s="18"/>
      <c r="BA549" s="19"/>
      <c r="BB549" s="19"/>
      <c r="BC549" s="19"/>
      <c r="BD549" s="19"/>
      <c r="BE549" s="18"/>
      <c r="BF549" s="19"/>
      <c r="BG549" s="19"/>
      <c r="BH549" s="19"/>
      <c r="BI549" s="19"/>
      <c r="BJ549" s="18"/>
      <c r="BK549" s="19"/>
      <c r="BL549" s="19"/>
      <c r="BM549" s="19"/>
      <c r="BN549" s="19"/>
      <c r="BO549" s="18"/>
      <c r="BP549" s="19"/>
      <c r="BQ549" s="19"/>
      <c r="BR549" s="19"/>
      <c r="BS549" s="19"/>
      <c r="BT549" s="18"/>
      <c r="BU549" s="19"/>
      <c r="BV549" s="19"/>
      <c r="BW549" s="19"/>
      <c r="BX549" s="19"/>
      <c r="BY549" s="18"/>
      <c r="BZ549" s="19"/>
      <c r="CA549" s="19"/>
      <c r="CB549" s="19"/>
      <c r="CC549" s="19"/>
      <c r="CD549" s="18"/>
      <c r="CE549" s="19"/>
      <c r="CF549" s="19"/>
      <c r="CG549" s="19"/>
      <c r="CH549" s="19"/>
      <c r="CI549" s="18"/>
      <c r="CJ549" s="19"/>
      <c r="CK549" s="19"/>
      <c r="CL549" s="19"/>
      <c r="CM549" s="19"/>
      <c r="CN549" s="687"/>
      <c r="CO549" s="687"/>
      <c r="CP549" s="687"/>
      <c r="CQ549" s="687"/>
      <c r="CR549" s="687"/>
      <c r="CS549" s="687"/>
      <c r="CT549" s="14"/>
    </row>
    <row r="550" spans="1:98" s="4" customFormat="1" x14ac:dyDescent="0.3">
      <c r="A550" s="14"/>
      <c r="B550" s="292"/>
      <c r="C550" s="292"/>
      <c r="D550" s="14"/>
      <c r="E550" s="14"/>
      <c r="F550" s="703"/>
      <c r="G550" s="14"/>
      <c r="H550" s="14"/>
      <c r="I550" s="14"/>
      <c r="J550" s="14"/>
      <c r="K550" s="14"/>
      <c r="L550" s="14"/>
      <c r="M550" s="14"/>
      <c r="N550" s="703"/>
      <c r="O550" s="111"/>
      <c r="P550" s="703"/>
      <c r="Q550" s="14"/>
      <c r="R550" s="14"/>
      <c r="S550" s="14"/>
      <c r="T550" s="14"/>
      <c r="U550" s="14"/>
      <c r="V550" s="14"/>
      <c r="W550" s="14"/>
      <c r="X550" s="14"/>
      <c r="Y550" s="14"/>
      <c r="Z550" s="14"/>
      <c r="AA550" s="18"/>
      <c r="AB550" s="19"/>
      <c r="AC550" s="19"/>
      <c r="AD550" s="19"/>
      <c r="AE550" s="19"/>
      <c r="AF550" s="18"/>
      <c r="AG550" s="19"/>
      <c r="AH550" s="19"/>
      <c r="AI550" s="19"/>
      <c r="AJ550" s="19"/>
      <c r="AK550" s="18"/>
      <c r="AL550" s="19"/>
      <c r="AM550" s="19"/>
      <c r="AN550" s="19"/>
      <c r="AO550" s="19"/>
      <c r="AP550" s="18"/>
      <c r="AQ550" s="19"/>
      <c r="AR550" s="19"/>
      <c r="AS550" s="19"/>
      <c r="AT550" s="19"/>
      <c r="AU550" s="18"/>
      <c r="AV550" s="19"/>
      <c r="AW550" s="19"/>
      <c r="AX550" s="19"/>
      <c r="AY550" s="19"/>
      <c r="AZ550" s="18"/>
      <c r="BA550" s="19"/>
      <c r="BB550" s="19"/>
      <c r="BC550" s="19"/>
      <c r="BD550" s="19"/>
      <c r="BE550" s="18"/>
      <c r="BF550" s="19"/>
      <c r="BG550" s="19"/>
      <c r="BH550" s="19"/>
      <c r="BI550" s="19"/>
      <c r="BJ550" s="18"/>
      <c r="BK550" s="19"/>
      <c r="BL550" s="19"/>
      <c r="BM550" s="19"/>
      <c r="BN550" s="19"/>
      <c r="BO550" s="18"/>
      <c r="BP550" s="19"/>
      <c r="BQ550" s="19"/>
      <c r="BR550" s="19"/>
      <c r="BS550" s="19"/>
      <c r="BT550" s="18"/>
      <c r="BU550" s="19"/>
      <c r="BV550" s="19"/>
      <c r="BW550" s="19"/>
      <c r="BX550" s="19"/>
      <c r="BY550" s="18"/>
      <c r="BZ550" s="19"/>
      <c r="CA550" s="19"/>
      <c r="CB550" s="19"/>
      <c r="CC550" s="19"/>
      <c r="CD550" s="18"/>
      <c r="CE550" s="19"/>
      <c r="CF550" s="19"/>
      <c r="CG550" s="19"/>
      <c r="CH550" s="19"/>
      <c r="CI550" s="18"/>
      <c r="CJ550" s="19"/>
      <c r="CK550" s="19"/>
      <c r="CL550" s="19"/>
      <c r="CM550" s="19"/>
      <c r="CN550" s="687"/>
      <c r="CO550" s="687"/>
      <c r="CP550" s="687"/>
      <c r="CQ550" s="687"/>
      <c r="CR550" s="687"/>
      <c r="CS550" s="687"/>
      <c r="CT550" s="14"/>
    </row>
    <row r="551" spans="1:98" s="4" customFormat="1" x14ac:dyDescent="0.3">
      <c r="A551" s="14"/>
      <c r="B551" s="292"/>
      <c r="C551" s="292"/>
      <c r="D551" s="14"/>
      <c r="E551" s="14"/>
      <c r="F551" s="703"/>
      <c r="G551" s="14"/>
      <c r="H551" s="14"/>
      <c r="I551" s="14"/>
      <c r="J551" s="14"/>
      <c r="K551" s="14"/>
      <c r="L551" s="14"/>
      <c r="M551" s="14"/>
      <c r="N551" s="703"/>
      <c r="O551" s="111"/>
      <c r="P551" s="703"/>
      <c r="Q551" s="14"/>
      <c r="R551" s="14"/>
      <c r="S551" s="14"/>
      <c r="T551" s="14"/>
      <c r="U551" s="14"/>
      <c r="V551" s="14"/>
      <c r="W551" s="14"/>
      <c r="X551" s="14"/>
      <c r="Y551" s="14"/>
      <c r="Z551" s="14"/>
      <c r="AA551" s="18"/>
      <c r="AB551" s="19"/>
      <c r="AC551" s="19"/>
      <c r="AD551" s="19"/>
      <c r="AE551" s="19"/>
      <c r="AF551" s="18"/>
      <c r="AG551" s="19"/>
      <c r="AH551" s="19"/>
      <c r="AI551" s="19"/>
      <c r="AJ551" s="19"/>
      <c r="AK551" s="18"/>
      <c r="AL551" s="19"/>
      <c r="AM551" s="19"/>
      <c r="AN551" s="19"/>
      <c r="AO551" s="19"/>
      <c r="AP551" s="18"/>
      <c r="AQ551" s="19"/>
      <c r="AR551" s="19"/>
      <c r="AS551" s="19"/>
      <c r="AT551" s="19"/>
      <c r="AU551" s="18"/>
      <c r="AV551" s="19"/>
      <c r="AW551" s="19"/>
      <c r="AX551" s="19"/>
      <c r="AY551" s="19"/>
      <c r="AZ551" s="18"/>
      <c r="BA551" s="19"/>
      <c r="BB551" s="19"/>
      <c r="BC551" s="19"/>
      <c r="BD551" s="19"/>
      <c r="BE551" s="18"/>
      <c r="BF551" s="19"/>
      <c r="BG551" s="19"/>
      <c r="BH551" s="19"/>
      <c r="BI551" s="19"/>
      <c r="BJ551" s="18"/>
      <c r="BK551" s="19"/>
      <c r="BL551" s="19"/>
      <c r="BM551" s="19"/>
      <c r="BN551" s="19"/>
      <c r="BO551" s="18"/>
      <c r="BP551" s="19"/>
      <c r="BQ551" s="19"/>
      <c r="BR551" s="19"/>
      <c r="BS551" s="19"/>
      <c r="BT551" s="18"/>
      <c r="BU551" s="19"/>
      <c r="BV551" s="19"/>
      <c r="BW551" s="19"/>
      <c r="BX551" s="19"/>
      <c r="BY551" s="18"/>
      <c r="BZ551" s="19"/>
      <c r="CA551" s="19"/>
      <c r="CB551" s="19"/>
      <c r="CC551" s="19"/>
      <c r="CD551" s="18"/>
      <c r="CE551" s="19"/>
      <c r="CF551" s="19"/>
      <c r="CG551" s="19"/>
      <c r="CH551" s="19"/>
      <c r="CI551" s="18"/>
      <c r="CJ551" s="19"/>
      <c r="CK551" s="19"/>
      <c r="CL551" s="19"/>
      <c r="CM551" s="19"/>
      <c r="CN551" s="687"/>
      <c r="CO551" s="687"/>
      <c r="CP551" s="687"/>
      <c r="CQ551" s="687"/>
      <c r="CR551" s="687"/>
      <c r="CS551" s="687"/>
      <c r="CT551" s="14"/>
    </row>
    <row r="552" spans="1:98" s="4" customFormat="1" x14ac:dyDescent="0.3">
      <c r="A552" s="14"/>
      <c r="B552" s="292"/>
      <c r="C552" s="292"/>
      <c r="D552" s="14"/>
      <c r="E552" s="14"/>
      <c r="F552" s="703"/>
      <c r="G552" s="14"/>
      <c r="H552" s="14"/>
      <c r="I552" s="14"/>
      <c r="J552" s="14"/>
      <c r="K552" s="14"/>
      <c r="L552" s="14"/>
      <c r="M552" s="14"/>
      <c r="N552" s="703"/>
      <c r="O552" s="111"/>
      <c r="P552" s="703"/>
      <c r="Q552" s="14"/>
      <c r="R552" s="14"/>
      <c r="S552" s="14"/>
      <c r="T552" s="14"/>
      <c r="U552" s="14"/>
      <c r="V552" s="14"/>
      <c r="W552" s="14"/>
      <c r="X552" s="14"/>
      <c r="Y552" s="14"/>
      <c r="Z552" s="14"/>
      <c r="AA552" s="18"/>
      <c r="AB552" s="19"/>
      <c r="AC552" s="19"/>
      <c r="AD552" s="19"/>
      <c r="AE552" s="19"/>
      <c r="AF552" s="18"/>
      <c r="AG552" s="19"/>
      <c r="AH552" s="19"/>
      <c r="AI552" s="19"/>
      <c r="AJ552" s="19"/>
      <c r="AK552" s="18"/>
      <c r="AL552" s="19"/>
      <c r="AM552" s="19"/>
      <c r="AN552" s="19"/>
      <c r="AO552" s="19"/>
      <c r="AP552" s="18"/>
      <c r="AQ552" s="19"/>
      <c r="AR552" s="19"/>
      <c r="AS552" s="19"/>
      <c r="AT552" s="19"/>
      <c r="AU552" s="18"/>
      <c r="AV552" s="19"/>
      <c r="AW552" s="19"/>
      <c r="AX552" s="19"/>
      <c r="AY552" s="19"/>
      <c r="AZ552" s="18"/>
      <c r="BA552" s="19"/>
      <c r="BB552" s="19"/>
      <c r="BC552" s="19"/>
      <c r="BD552" s="19"/>
      <c r="BE552" s="18"/>
      <c r="BF552" s="19"/>
      <c r="BG552" s="19"/>
      <c r="BH552" s="19"/>
      <c r="BI552" s="19"/>
      <c r="BJ552" s="18"/>
      <c r="BK552" s="19"/>
      <c r="BL552" s="19"/>
      <c r="BM552" s="19"/>
      <c r="BN552" s="19"/>
      <c r="BO552" s="18"/>
      <c r="BP552" s="19"/>
      <c r="BQ552" s="19"/>
      <c r="BR552" s="19"/>
      <c r="BS552" s="19"/>
      <c r="BT552" s="18"/>
      <c r="BU552" s="19"/>
      <c r="BV552" s="19"/>
      <c r="BW552" s="19"/>
      <c r="BX552" s="19"/>
      <c r="BY552" s="18"/>
      <c r="BZ552" s="19"/>
      <c r="CA552" s="19"/>
      <c r="CB552" s="19"/>
      <c r="CC552" s="19"/>
      <c r="CD552" s="18"/>
      <c r="CE552" s="19"/>
      <c r="CF552" s="19"/>
      <c r="CG552" s="19"/>
      <c r="CH552" s="19"/>
      <c r="CI552" s="18"/>
      <c r="CJ552" s="19"/>
      <c r="CK552" s="19"/>
      <c r="CL552" s="19"/>
      <c r="CM552" s="19"/>
      <c r="CN552" s="687"/>
      <c r="CO552" s="687"/>
      <c r="CP552" s="687"/>
      <c r="CQ552" s="687"/>
      <c r="CR552" s="687"/>
      <c r="CS552" s="687"/>
      <c r="CT552" s="14"/>
    </row>
    <row r="553" spans="1:98" s="4" customFormat="1" x14ac:dyDescent="0.3">
      <c r="A553" s="14"/>
      <c r="B553" s="292"/>
      <c r="C553" s="292"/>
      <c r="D553" s="14"/>
      <c r="E553" s="14"/>
      <c r="F553" s="703"/>
      <c r="G553" s="14"/>
      <c r="H553" s="14"/>
      <c r="I553" s="14"/>
      <c r="J553" s="14"/>
      <c r="K553" s="14"/>
      <c r="L553" s="14"/>
      <c r="M553" s="14"/>
      <c r="N553" s="703"/>
      <c r="O553" s="111"/>
      <c r="P553" s="703"/>
      <c r="Q553" s="14"/>
      <c r="R553" s="14"/>
      <c r="S553" s="14"/>
      <c r="T553" s="14"/>
      <c r="U553" s="14"/>
      <c r="V553" s="14"/>
      <c r="W553" s="14"/>
      <c r="X553" s="14"/>
      <c r="Y553" s="14"/>
      <c r="Z553" s="14"/>
      <c r="AA553" s="18"/>
      <c r="AB553" s="19"/>
      <c r="AC553" s="19"/>
      <c r="AD553" s="19"/>
      <c r="AE553" s="19"/>
      <c r="AF553" s="18"/>
      <c r="AG553" s="19"/>
      <c r="AH553" s="19"/>
      <c r="AI553" s="19"/>
      <c r="AJ553" s="19"/>
      <c r="AK553" s="18"/>
      <c r="AL553" s="19"/>
      <c r="AM553" s="19"/>
      <c r="AN553" s="19"/>
      <c r="AO553" s="19"/>
      <c r="AP553" s="18"/>
      <c r="AQ553" s="19"/>
      <c r="AR553" s="19"/>
      <c r="AS553" s="19"/>
      <c r="AT553" s="19"/>
      <c r="AU553" s="18"/>
      <c r="AV553" s="19"/>
      <c r="AW553" s="19"/>
      <c r="AX553" s="19"/>
      <c r="AY553" s="19"/>
      <c r="AZ553" s="18"/>
      <c r="BA553" s="19"/>
      <c r="BB553" s="19"/>
      <c r="BC553" s="19"/>
      <c r="BD553" s="19"/>
      <c r="BE553" s="18"/>
      <c r="BF553" s="19"/>
      <c r="BG553" s="19"/>
      <c r="BH553" s="19"/>
      <c r="BI553" s="19"/>
      <c r="BJ553" s="18"/>
      <c r="BK553" s="19"/>
      <c r="BL553" s="19"/>
      <c r="BM553" s="19"/>
      <c r="BN553" s="19"/>
      <c r="BO553" s="18"/>
      <c r="BP553" s="19"/>
      <c r="BQ553" s="19"/>
      <c r="BR553" s="19"/>
      <c r="BS553" s="19"/>
      <c r="BT553" s="18"/>
      <c r="BU553" s="19"/>
      <c r="BV553" s="19"/>
      <c r="BW553" s="19"/>
      <c r="BX553" s="19"/>
      <c r="BY553" s="18"/>
      <c r="BZ553" s="19"/>
      <c r="CA553" s="19"/>
      <c r="CB553" s="19"/>
      <c r="CC553" s="19"/>
      <c r="CD553" s="18"/>
      <c r="CE553" s="19"/>
      <c r="CF553" s="19"/>
      <c r="CG553" s="19"/>
      <c r="CH553" s="19"/>
      <c r="CI553" s="18"/>
      <c r="CJ553" s="19"/>
      <c r="CK553" s="19"/>
      <c r="CL553" s="19"/>
      <c r="CM553" s="19"/>
      <c r="CN553" s="687"/>
      <c r="CO553" s="687"/>
      <c r="CP553" s="687"/>
      <c r="CQ553" s="687"/>
      <c r="CR553" s="687"/>
      <c r="CS553" s="687"/>
      <c r="CT553" s="14"/>
    </row>
    <row r="554" spans="1:98" s="4" customFormat="1" x14ac:dyDescent="0.3">
      <c r="A554" s="14"/>
      <c r="B554" s="292"/>
      <c r="C554" s="292"/>
      <c r="D554" s="14"/>
      <c r="E554" s="14"/>
      <c r="F554" s="703"/>
      <c r="G554" s="14"/>
      <c r="H554" s="14"/>
      <c r="I554" s="14"/>
      <c r="J554" s="14"/>
      <c r="K554" s="14"/>
      <c r="L554" s="14"/>
      <c r="M554" s="14"/>
      <c r="N554" s="703"/>
      <c r="O554" s="111"/>
      <c r="P554" s="703"/>
      <c r="Q554" s="14"/>
      <c r="R554" s="14"/>
      <c r="S554" s="14"/>
      <c r="T554" s="14"/>
      <c r="U554" s="14"/>
      <c r="V554" s="14"/>
      <c r="W554" s="14"/>
      <c r="X554" s="14"/>
      <c r="Y554" s="14"/>
      <c r="Z554" s="14"/>
      <c r="AA554" s="18"/>
      <c r="AB554" s="19"/>
      <c r="AC554" s="19"/>
      <c r="AD554" s="19"/>
      <c r="AE554" s="19"/>
      <c r="AF554" s="18"/>
      <c r="AG554" s="19"/>
      <c r="AH554" s="19"/>
      <c r="AI554" s="19"/>
      <c r="AJ554" s="19"/>
      <c r="AK554" s="18"/>
      <c r="AL554" s="19"/>
      <c r="AM554" s="19"/>
      <c r="AN554" s="19"/>
      <c r="AO554" s="19"/>
      <c r="AP554" s="18"/>
      <c r="AQ554" s="19"/>
      <c r="AR554" s="19"/>
      <c r="AS554" s="19"/>
      <c r="AT554" s="19"/>
      <c r="AU554" s="18"/>
      <c r="AV554" s="19"/>
      <c r="AW554" s="19"/>
      <c r="AX554" s="19"/>
      <c r="AY554" s="19"/>
      <c r="AZ554" s="18"/>
      <c r="BA554" s="19"/>
      <c r="BB554" s="19"/>
      <c r="BC554" s="19"/>
      <c r="BD554" s="19"/>
      <c r="BE554" s="18"/>
      <c r="BF554" s="19"/>
      <c r="BG554" s="19"/>
      <c r="BH554" s="19"/>
      <c r="BI554" s="19"/>
      <c r="BJ554" s="18"/>
      <c r="BK554" s="19"/>
      <c r="BL554" s="19"/>
      <c r="BM554" s="19"/>
      <c r="BN554" s="19"/>
      <c r="BO554" s="18"/>
      <c r="BP554" s="19"/>
      <c r="BQ554" s="19"/>
      <c r="BR554" s="19"/>
      <c r="BS554" s="19"/>
      <c r="BT554" s="18"/>
      <c r="BU554" s="19"/>
      <c r="BV554" s="19"/>
      <c r="BW554" s="19"/>
      <c r="BX554" s="19"/>
      <c r="BY554" s="18"/>
      <c r="BZ554" s="19"/>
      <c r="CA554" s="19"/>
      <c r="CB554" s="19"/>
      <c r="CC554" s="19"/>
      <c r="CD554" s="18"/>
      <c r="CE554" s="19"/>
      <c r="CF554" s="19"/>
      <c r="CG554" s="19"/>
      <c r="CH554" s="19"/>
      <c r="CI554" s="18"/>
      <c r="CJ554" s="19"/>
      <c r="CK554" s="19"/>
      <c r="CL554" s="19"/>
      <c r="CM554" s="19"/>
      <c r="CN554" s="687"/>
      <c r="CO554" s="687"/>
      <c r="CP554" s="687"/>
      <c r="CQ554" s="687"/>
      <c r="CR554" s="687"/>
      <c r="CS554" s="687"/>
      <c r="CT554" s="14"/>
    </row>
    <row r="555" spans="1:98" s="4" customFormat="1" x14ac:dyDescent="0.3">
      <c r="A555" s="14"/>
      <c r="B555" s="292"/>
      <c r="C555" s="292"/>
      <c r="D555" s="14"/>
      <c r="E555" s="14"/>
      <c r="F555" s="703"/>
      <c r="G555" s="14"/>
      <c r="H555" s="14"/>
      <c r="I555" s="14"/>
      <c r="J555" s="14"/>
      <c r="K555" s="14"/>
      <c r="L555" s="14"/>
      <c r="M555" s="14"/>
      <c r="N555" s="703"/>
      <c r="O555" s="111"/>
      <c r="P555" s="703"/>
      <c r="Q555" s="14"/>
      <c r="R555" s="14"/>
      <c r="S555" s="14"/>
      <c r="T555" s="14"/>
      <c r="U555" s="14"/>
      <c r="V555" s="14"/>
      <c r="W555" s="14"/>
      <c r="X555" s="14"/>
      <c r="Y555" s="14"/>
      <c r="Z555" s="14"/>
      <c r="AA555" s="18"/>
      <c r="AB555" s="19"/>
      <c r="AC555" s="19"/>
      <c r="AD555" s="19"/>
      <c r="AE555" s="19"/>
      <c r="AF555" s="18"/>
      <c r="AG555" s="19"/>
      <c r="AH555" s="19"/>
      <c r="AI555" s="19"/>
      <c r="AJ555" s="19"/>
      <c r="AK555" s="18"/>
      <c r="AL555" s="19"/>
      <c r="AM555" s="19"/>
      <c r="AN555" s="19"/>
      <c r="AO555" s="19"/>
      <c r="AP555" s="18"/>
      <c r="AQ555" s="19"/>
      <c r="AR555" s="19"/>
      <c r="AS555" s="19"/>
      <c r="AT555" s="19"/>
      <c r="AU555" s="18"/>
      <c r="AV555" s="19"/>
      <c r="AW555" s="19"/>
      <c r="AX555" s="19"/>
      <c r="AY555" s="19"/>
      <c r="AZ555" s="18"/>
      <c r="BA555" s="19"/>
      <c r="BB555" s="19"/>
      <c r="BC555" s="19"/>
      <c r="BD555" s="19"/>
      <c r="BE555" s="18"/>
      <c r="BF555" s="19"/>
      <c r="BG555" s="19"/>
      <c r="BH555" s="19"/>
      <c r="BI555" s="19"/>
      <c r="BJ555" s="18"/>
      <c r="BK555" s="19"/>
      <c r="BL555" s="19"/>
      <c r="BM555" s="19"/>
      <c r="BN555" s="19"/>
      <c r="BO555" s="18"/>
      <c r="BP555" s="19"/>
      <c r="BQ555" s="19"/>
      <c r="BR555" s="19"/>
      <c r="BS555" s="19"/>
      <c r="BT555" s="18"/>
      <c r="BU555" s="19"/>
      <c r="BV555" s="19"/>
      <c r="BW555" s="19"/>
      <c r="BX555" s="19"/>
      <c r="BY555" s="18"/>
      <c r="BZ555" s="19"/>
      <c r="CA555" s="19"/>
      <c r="CB555" s="19"/>
      <c r="CC555" s="19"/>
      <c r="CD555" s="18"/>
      <c r="CE555" s="19"/>
      <c r="CF555" s="19"/>
      <c r="CG555" s="19"/>
      <c r="CH555" s="19"/>
      <c r="CI555" s="18"/>
      <c r="CJ555" s="19"/>
      <c r="CK555" s="19"/>
      <c r="CL555" s="19"/>
      <c r="CM555" s="19"/>
      <c r="CN555" s="687"/>
      <c r="CO555" s="687"/>
      <c r="CP555" s="687"/>
      <c r="CQ555" s="687"/>
      <c r="CR555" s="687"/>
      <c r="CS555" s="687"/>
      <c r="CT555" s="14"/>
    </row>
    <row r="556" spans="1:98" s="4" customFormat="1" x14ac:dyDescent="0.3">
      <c r="A556" s="14"/>
      <c r="B556" s="292"/>
      <c r="C556" s="292"/>
      <c r="D556" s="14"/>
      <c r="E556" s="14"/>
      <c r="F556" s="703"/>
      <c r="G556" s="14"/>
      <c r="H556" s="14"/>
      <c r="I556" s="14"/>
      <c r="J556" s="14"/>
      <c r="K556" s="14"/>
      <c r="L556" s="14"/>
      <c r="M556" s="14"/>
      <c r="N556" s="703"/>
      <c r="O556" s="111"/>
      <c r="P556" s="703"/>
      <c r="Q556" s="14"/>
      <c r="R556" s="14"/>
      <c r="S556" s="14"/>
      <c r="T556" s="14"/>
      <c r="U556" s="14"/>
      <c r="V556" s="14"/>
      <c r="W556" s="14"/>
      <c r="X556" s="14"/>
      <c r="Y556" s="14"/>
      <c r="Z556" s="14"/>
      <c r="AA556" s="18"/>
      <c r="AB556" s="19"/>
      <c r="AC556" s="19"/>
      <c r="AD556" s="19"/>
      <c r="AE556" s="19"/>
      <c r="AF556" s="18"/>
      <c r="AG556" s="19"/>
      <c r="AH556" s="19"/>
      <c r="AI556" s="19"/>
      <c r="AJ556" s="19"/>
      <c r="AK556" s="18"/>
      <c r="AL556" s="19"/>
      <c r="AM556" s="19"/>
      <c r="AN556" s="19"/>
      <c r="AO556" s="19"/>
      <c r="AP556" s="18"/>
      <c r="AQ556" s="19"/>
      <c r="AR556" s="19"/>
      <c r="AS556" s="19"/>
      <c r="AT556" s="19"/>
      <c r="AU556" s="18"/>
      <c r="AV556" s="19"/>
      <c r="AW556" s="19"/>
      <c r="AX556" s="19"/>
      <c r="AY556" s="19"/>
      <c r="AZ556" s="18"/>
      <c r="BA556" s="19"/>
      <c r="BB556" s="19"/>
      <c r="BC556" s="19"/>
      <c r="BD556" s="19"/>
      <c r="BE556" s="18"/>
      <c r="BF556" s="19"/>
      <c r="BG556" s="19"/>
      <c r="BH556" s="19"/>
      <c r="BI556" s="19"/>
      <c r="BJ556" s="18"/>
      <c r="BK556" s="19"/>
      <c r="BL556" s="19"/>
      <c r="BM556" s="19"/>
      <c r="BN556" s="19"/>
      <c r="BO556" s="18"/>
      <c r="BP556" s="19"/>
      <c r="BQ556" s="19"/>
      <c r="BR556" s="19"/>
      <c r="BS556" s="19"/>
      <c r="BT556" s="18"/>
      <c r="BU556" s="19"/>
      <c r="BV556" s="19"/>
      <c r="BW556" s="19"/>
      <c r="BX556" s="19"/>
      <c r="BY556" s="18"/>
      <c r="BZ556" s="19"/>
      <c r="CA556" s="19"/>
      <c r="CB556" s="19"/>
      <c r="CC556" s="19"/>
      <c r="CD556" s="18"/>
      <c r="CE556" s="19"/>
      <c r="CF556" s="19"/>
      <c r="CG556" s="19"/>
      <c r="CH556" s="19"/>
      <c r="CI556" s="18"/>
      <c r="CJ556" s="19"/>
      <c r="CK556" s="19"/>
      <c r="CL556" s="19"/>
      <c r="CM556" s="19"/>
      <c r="CN556" s="687"/>
      <c r="CO556" s="687"/>
      <c r="CP556" s="687"/>
      <c r="CQ556" s="687"/>
      <c r="CR556" s="687"/>
      <c r="CS556" s="687"/>
      <c r="CT556" s="14"/>
    </row>
    <row r="557" spans="1:98" s="4" customFormat="1" x14ac:dyDescent="0.3">
      <c r="A557" s="14"/>
      <c r="B557" s="292"/>
      <c r="C557" s="292"/>
      <c r="D557" s="14"/>
      <c r="E557" s="14"/>
      <c r="F557" s="703"/>
      <c r="G557" s="14"/>
      <c r="H557" s="14"/>
      <c r="I557" s="14"/>
      <c r="J557" s="14"/>
      <c r="K557" s="14"/>
      <c r="L557" s="14"/>
      <c r="M557" s="14"/>
      <c r="N557" s="703"/>
      <c r="O557" s="111"/>
      <c r="P557" s="703"/>
      <c r="Q557" s="14"/>
      <c r="R557" s="14"/>
      <c r="S557" s="14"/>
      <c r="T557" s="14"/>
      <c r="U557" s="14"/>
      <c r="V557" s="14"/>
      <c r="W557" s="14"/>
      <c r="X557" s="14"/>
      <c r="Y557" s="14"/>
      <c r="Z557" s="14"/>
      <c r="AA557" s="18"/>
      <c r="AB557" s="19"/>
      <c r="AC557" s="19"/>
      <c r="AD557" s="19"/>
      <c r="AE557" s="19"/>
      <c r="AF557" s="18"/>
      <c r="AG557" s="19"/>
      <c r="AH557" s="19"/>
      <c r="AI557" s="19"/>
      <c r="AJ557" s="19"/>
      <c r="AK557" s="18"/>
      <c r="AL557" s="19"/>
      <c r="AM557" s="19"/>
      <c r="AN557" s="19"/>
      <c r="AO557" s="19"/>
      <c r="AP557" s="18"/>
      <c r="AQ557" s="19"/>
      <c r="AR557" s="19"/>
      <c r="AS557" s="19"/>
      <c r="AT557" s="19"/>
      <c r="AU557" s="18"/>
      <c r="AV557" s="19"/>
      <c r="AW557" s="19"/>
      <c r="AX557" s="19"/>
      <c r="AY557" s="19"/>
      <c r="AZ557" s="18"/>
      <c r="BA557" s="19"/>
      <c r="BB557" s="19"/>
      <c r="BC557" s="19"/>
      <c r="BD557" s="19"/>
      <c r="BE557" s="18"/>
      <c r="BF557" s="19"/>
      <c r="BG557" s="19"/>
      <c r="BH557" s="19"/>
      <c r="BI557" s="19"/>
      <c r="BJ557" s="18"/>
      <c r="BK557" s="19"/>
      <c r="BL557" s="19"/>
      <c r="BM557" s="19"/>
      <c r="BN557" s="19"/>
      <c r="BO557" s="18"/>
      <c r="BP557" s="19"/>
      <c r="BQ557" s="19"/>
      <c r="BR557" s="19"/>
      <c r="BS557" s="19"/>
      <c r="BT557" s="18"/>
      <c r="BU557" s="19"/>
      <c r="BV557" s="19"/>
      <c r="BW557" s="19"/>
      <c r="BX557" s="19"/>
      <c r="BY557" s="18"/>
      <c r="BZ557" s="19"/>
      <c r="CA557" s="19"/>
      <c r="CB557" s="19"/>
      <c r="CC557" s="19"/>
      <c r="CD557" s="18"/>
      <c r="CE557" s="19"/>
      <c r="CF557" s="19"/>
      <c r="CG557" s="19"/>
      <c r="CH557" s="19"/>
      <c r="CI557" s="18"/>
      <c r="CJ557" s="19"/>
      <c r="CK557" s="19"/>
      <c r="CL557" s="19"/>
      <c r="CM557" s="19"/>
      <c r="CN557" s="687"/>
      <c r="CO557" s="687"/>
      <c r="CP557" s="687"/>
      <c r="CQ557" s="687"/>
      <c r="CR557" s="687"/>
      <c r="CS557" s="687"/>
      <c r="CT557" s="14"/>
    </row>
    <row r="558" spans="1:98" s="4" customFormat="1" x14ac:dyDescent="0.3">
      <c r="A558" s="14"/>
      <c r="B558" s="292"/>
      <c r="C558" s="292"/>
      <c r="D558" s="14"/>
      <c r="E558" s="14"/>
      <c r="F558" s="703"/>
      <c r="G558" s="14"/>
      <c r="H558" s="14"/>
      <c r="I558" s="14"/>
      <c r="J558" s="14"/>
      <c r="K558" s="14"/>
      <c r="L558" s="14"/>
      <c r="M558" s="14"/>
      <c r="N558" s="703"/>
      <c r="O558" s="111"/>
      <c r="P558" s="703"/>
      <c r="Q558" s="14"/>
      <c r="R558" s="14"/>
      <c r="S558" s="14"/>
      <c r="T558" s="14"/>
      <c r="U558" s="14"/>
      <c r="V558" s="14"/>
      <c r="W558" s="14"/>
      <c r="X558" s="14"/>
      <c r="Y558" s="14"/>
      <c r="Z558" s="14"/>
      <c r="AA558" s="18"/>
      <c r="AB558" s="19"/>
      <c r="AC558" s="19"/>
      <c r="AD558" s="19"/>
      <c r="AE558" s="19"/>
      <c r="AF558" s="18"/>
      <c r="AG558" s="19"/>
      <c r="AH558" s="19"/>
      <c r="AI558" s="19"/>
      <c r="AJ558" s="19"/>
      <c r="AK558" s="18"/>
      <c r="AL558" s="19"/>
      <c r="AM558" s="19"/>
      <c r="AN558" s="19"/>
      <c r="AO558" s="19"/>
      <c r="AP558" s="18"/>
      <c r="AQ558" s="19"/>
      <c r="AR558" s="19"/>
      <c r="AS558" s="19"/>
      <c r="AT558" s="19"/>
      <c r="AU558" s="18"/>
      <c r="AV558" s="19"/>
      <c r="AW558" s="19"/>
      <c r="AX558" s="19"/>
      <c r="AY558" s="19"/>
      <c r="AZ558" s="18"/>
      <c r="BA558" s="19"/>
      <c r="BB558" s="19"/>
      <c r="BC558" s="19"/>
      <c r="BD558" s="19"/>
      <c r="BE558" s="18"/>
      <c r="BF558" s="19"/>
      <c r="BG558" s="19"/>
      <c r="BH558" s="19"/>
      <c r="BI558" s="19"/>
      <c r="BJ558" s="18"/>
      <c r="BK558" s="19"/>
      <c r="BL558" s="19"/>
      <c r="BM558" s="19"/>
      <c r="BN558" s="19"/>
      <c r="BO558" s="18"/>
      <c r="BP558" s="19"/>
      <c r="BQ558" s="19"/>
      <c r="BR558" s="19"/>
      <c r="BS558" s="19"/>
      <c r="BT558" s="18"/>
      <c r="BU558" s="19"/>
      <c r="BV558" s="19"/>
      <c r="BW558" s="19"/>
      <c r="BX558" s="19"/>
      <c r="BY558" s="18"/>
      <c r="BZ558" s="19"/>
      <c r="CA558" s="19"/>
      <c r="CB558" s="19"/>
      <c r="CC558" s="19"/>
      <c r="CD558" s="18"/>
      <c r="CE558" s="19"/>
      <c r="CF558" s="19"/>
      <c r="CG558" s="19"/>
      <c r="CH558" s="19"/>
      <c r="CI558" s="18"/>
      <c r="CJ558" s="19"/>
      <c r="CK558" s="19"/>
      <c r="CL558" s="19"/>
      <c r="CM558" s="19"/>
      <c r="CN558" s="687"/>
      <c r="CO558" s="687"/>
      <c r="CP558" s="687"/>
      <c r="CQ558" s="687"/>
      <c r="CR558" s="687"/>
      <c r="CS558" s="687"/>
      <c r="CT558" s="14"/>
    </row>
    <row r="559" spans="1:98" s="4" customFormat="1" x14ac:dyDescent="0.3">
      <c r="A559" s="14"/>
      <c r="B559" s="292"/>
      <c r="C559" s="292"/>
      <c r="D559" s="14"/>
      <c r="E559" s="14"/>
      <c r="F559" s="703"/>
      <c r="G559" s="14"/>
      <c r="H559" s="14"/>
      <c r="I559" s="14"/>
      <c r="J559" s="14"/>
      <c r="K559" s="14"/>
      <c r="L559" s="14"/>
      <c r="M559" s="14"/>
      <c r="N559" s="703"/>
      <c r="O559" s="111"/>
      <c r="P559" s="703"/>
      <c r="Q559" s="14"/>
      <c r="R559" s="14"/>
      <c r="S559" s="14"/>
      <c r="T559" s="14"/>
      <c r="U559" s="14"/>
      <c r="V559" s="14"/>
      <c r="W559" s="14"/>
      <c r="X559" s="14"/>
      <c r="Y559" s="14"/>
      <c r="Z559" s="14"/>
      <c r="AA559" s="18"/>
      <c r="AB559" s="19"/>
      <c r="AC559" s="19"/>
      <c r="AD559" s="19"/>
      <c r="AE559" s="19"/>
      <c r="AF559" s="18"/>
      <c r="AG559" s="19"/>
      <c r="AH559" s="19"/>
      <c r="AI559" s="19"/>
      <c r="AJ559" s="19"/>
      <c r="AK559" s="18"/>
      <c r="AL559" s="19"/>
      <c r="AM559" s="19"/>
      <c r="AN559" s="19"/>
      <c r="AO559" s="19"/>
      <c r="AP559" s="18"/>
      <c r="AQ559" s="19"/>
      <c r="AR559" s="19"/>
      <c r="AS559" s="19"/>
      <c r="AT559" s="19"/>
      <c r="AU559" s="18"/>
      <c r="AV559" s="19"/>
      <c r="AW559" s="19"/>
      <c r="AX559" s="19"/>
      <c r="AY559" s="19"/>
      <c r="AZ559" s="18"/>
      <c r="BA559" s="19"/>
      <c r="BB559" s="19"/>
      <c r="BC559" s="19"/>
      <c r="BD559" s="19"/>
      <c r="BE559" s="18"/>
      <c r="BF559" s="19"/>
      <c r="BG559" s="19"/>
      <c r="BH559" s="19"/>
      <c r="BI559" s="19"/>
      <c r="BJ559" s="18"/>
      <c r="BK559" s="19"/>
      <c r="BL559" s="19"/>
      <c r="BM559" s="19"/>
      <c r="BN559" s="19"/>
      <c r="BO559" s="18"/>
      <c r="BP559" s="19"/>
      <c r="BQ559" s="19"/>
      <c r="BR559" s="19"/>
      <c r="BS559" s="19"/>
      <c r="BT559" s="18"/>
      <c r="BU559" s="19"/>
      <c r="BV559" s="19"/>
      <c r="BW559" s="19"/>
      <c r="BX559" s="19"/>
      <c r="BY559" s="18"/>
      <c r="BZ559" s="19"/>
      <c r="CA559" s="19"/>
      <c r="CB559" s="19"/>
      <c r="CC559" s="19"/>
      <c r="CD559" s="18"/>
      <c r="CE559" s="19"/>
      <c r="CF559" s="19"/>
      <c r="CG559" s="19"/>
      <c r="CH559" s="19"/>
      <c r="CI559" s="18"/>
      <c r="CJ559" s="19"/>
      <c r="CK559" s="19"/>
      <c r="CL559" s="19"/>
      <c r="CM559" s="19"/>
      <c r="CN559" s="687"/>
      <c r="CO559" s="687"/>
      <c r="CP559" s="687"/>
      <c r="CQ559" s="687"/>
      <c r="CR559" s="687"/>
      <c r="CS559" s="687"/>
      <c r="CT559" s="14"/>
    </row>
    <row r="560" spans="1:98" s="4" customFormat="1" x14ac:dyDescent="0.3">
      <c r="A560" s="14"/>
      <c r="B560" s="292"/>
      <c r="C560" s="292"/>
      <c r="D560" s="14"/>
      <c r="E560" s="14"/>
      <c r="F560" s="703"/>
      <c r="G560" s="14"/>
      <c r="H560" s="14"/>
      <c r="I560" s="14"/>
      <c r="J560" s="14"/>
      <c r="K560" s="14"/>
      <c r="L560" s="14"/>
      <c r="M560" s="14"/>
      <c r="N560" s="703"/>
      <c r="O560" s="111"/>
      <c r="P560" s="703"/>
      <c r="Q560" s="14"/>
      <c r="R560" s="14"/>
      <c r="S560" s="14"/>
      <c r="T560" s="14"/>
      <c r="U560" s="14"/>
      <c r="V560" s="14"/>
      <c r="W560" s="14"/>
      <c r="X560" s="14"/>
      <c r="Y560" s="14"/>
      <c r="Z560" s="14"/>
      <c r="AA560" s="18"/>
      <c r="AB560" s="19"/>
      <c r="AC560" s="19"/>
      <c r="AD560" s="19"/>
      <c r="AE560" s="19"/>
      <c r="AF560" s="18"/>
      <c r="AG560" s="19"/>
      <c r="AH560" s="19"/>
      <c r="AI560" s="19"/>
      <c r="AJ560" s="19"/>
      <c r="AK560" s="18"/>
      <c r="AL560" s="19"/>
      <c r="AM560" s="19"/>
      <c r="AN560" s="19"/>
      <c r="AO560" s="19"/>
      <c r="AP560" s="18"/>
      <c r="AQ560" s="19"/>
      <c r="AR560" s="19"/>
      <c r="AS560" s="19"/>
      <c r="AT560" s="19"/>
      <c r="AU560" s="18"/>
      <c r="AV560" s="19"/>
      <c r="AW560" s="19"/>
      <c r="AX560" s="19"/>
      <c r="AY560" s="19"/>
      <c r="AZ560" s="18"/>
      <c r="BA560" s="19"/>
      <c r="BB560" s="19"/>
      <c r="BC560" s="19"/>
      <c r="BD560" s="19"/>
      <c r="BE560" s="18"/>
      <c r="BF560" s="19"/>
      <c r="BG560" s="19"/>
      <c r="BH560" s="19"/>
      <c r="BI560" s="19"/>
      <c r="BJ560" s="18"/>
      <c r="BK560" s="19"/>
      <c r="BL560" s="19"/>
      <c r="BM560" s="19"/>
      <c r="BN560" s="19"/>
      <c r="BO560" s="18"/>
      <c r="BP560" s="19"/>
      <c r="BQ560" s="19"/>
      <c r="BR560" s="19"/>
      <c r="BS560" s="19"/>
      <c r="BT560" s="18"/>
      <c r="BU560" s="19"/>
      <c r="BV560" s="19"/>
      <c r="BW560" s="19"/>
      <c r="BX560" s="19"/>
      <c r="BY560" s="18"/>
      <c r="BZ560" s="19"/>
      <c r="CA560" s="19"/>
      <c r="CB560" s="19"/>
      <c r="CC560" s="19"/>
      <c r="CD560" s="18"/>
      <c r="CE560" s="19"/>
      <c r="CF560" s="19"/>
      <c r="CG560" s="19"/>
      <c r="CH560" s="19"/>
      <c r="CI560" s="18"/>
      <c r="CJ560" s="19"/>
      <c r="CK560" s="19"/>
      <c r="CL560" s="19"/>
      <c r="CM560" s="19"/>
      <c r="CN560" s="687"/>
      <c r="CO560" s="687"/>
      <c r="CP560" s="687"/>
      <c r="CQ560" s="687"/>
      <c r="CR560" s="687"/>
      <c r="CS560" s="687"/>
      <c r="CT560" s="14"/>
    </row>
    <row r="561" spans="1:98" s="4" customFormat="1" x14ac:dyDescent="0.3">
      <c r="A561" s="14"/>
      <c r="B561" s="292"/>
      <c r="C561" s="292"/>
      <c r="D561" s="14"/>
      <c r="E561" s="14"/>
      <c r="F561" s="703"/>
      <c r="G561" s="14"/>
      <c r="H561" s="14"/>
      <c r="I561" s="14"/>
      <c r="J561" s="14"/>
      <c r="K561" s="14"/>
      <c r="L561" s="14"/>
      <c r="M561" s="14"/>
      <c r="N561" s="703"/>
      <c r="O561" s="111"/>
      <c r="P561" s="703"/>
      <c r="Q561" s="14"/>
      <c r="R561" s="14"/>
      <c r="S561" s="14"/>
      <c r="T561" s="14"/>
      <c r="U561" s="14"/>
      <c r="V561" s="14"/>
      <c r="W561" s="14"/>
      <c r="X561" s="14"/>
      <c r="Y561" s="14"/>
      <c r="Z561" s="14"/>
      <c r="AA561" s="18"/>
      <c r="AB561" s="19"/>
      <c r="AC561" s="19"/>
      <c r="AD561" s="19"/>
      <c r="AE561" s="19"/>
      <c r="AF561" s="18"/>
      <c r="AG561" s="19"/>
      <c r="AH561" s="19"/>
      <c r="AI561" s="19"/>
      <c r="AJ561" s="19"/>
      <c r="AK561" s="18"/>
      <c r="AL561" s="19"/>
      <c r="AM561" s="19"/>
      <c r="AN561" s="19"/>
      <c r="AO561" s="19"/>
      <c r="AP561" s="18"/>
      <c r="AQ561" s="19"/>
      <c r="AR561" s="19"/>
      <c r="AS561" s="19"/>
      <c r="AT561" s="19"/>
      <c r="AU561" s="18"/>
      <c r="AV561" s="19"/>
      <c r="AW561" s="19"/>
      <c r="AX561" s="19"/>
      <c r="AY561" s="19"/>
      <c r="AZ561" s="18"/>
      <c r="BA561" s="19"/>
      <c r="BB561" s="19"/>
      <c r="BC561" s="19"/>
      <c r="BD561" s="19"/>
      <c r="BE561" s="18"/>
      <c r="BF561" s="19"/>
      <c r="BG561" s="19"/>
      <c r="BH561" s="19"/>
      <c r="BI561" s="19"/>
      <c r="BJ561" s="18"/>
      <c r="BK561" s="19"/>
      <c r="BL561" s="19"/>
      <c r="BM561" s="19"/>
      <c r="BN561" s="19"/>
      <c r="BO561" s="18"/>
      <c r="BP561" s="19"/>
      <c r="BQ561" s="19"/>
      <c r="BR561" s="19"/>
      <c r="BS561" s="19"/>
      <c r="BT561" s="18"/>
      <c r="BU561" s="19"/>
      <c r="BV561" s="19"/>
      <c r="BW561" s="19"/>
      <c r="BX561" s="19"/>
      <c r="BY561" s="18"/>
      <c r="BZ561" s="19"/>
      <c r="CA561" s="19"/>
      <c r="CB561" s="19"/>
      <c r="CC561" s="19"/>
      <c r="CD561" s="18"/>
      <c r="CE561" s="19"/>
      <c r="CF561" s="19"/>
      <c r="CG561" s="19"/>
      <c r="CH561" s="19"/>
      <c r="CI561" s="18"/>
      <c r="CJ561" s="19"/>
      <c r="CK561" s="19"/>
      <c r="CL561" s="19"/>
      <c r="CM561" s="19"/>
      <c r="CN561" s="687"/>
      <c r="CO561" s="687"/>
      <c r="CP561" s="687"/>
      <c r="CQ561" s="687"/>
      <c r="CR561" s="687"/>
      <c r="CS561" s="687"/>
      <c r="CT561" s="14"/>
    </row>
    <row r="562" spans="1:98" s="4" customFormat="1" x14ac:dyDescent="0.3">
      <c r="A562" s="14"/>
      <c r="B562" s="292"/>
      <c r="C562" s="292"/>
      <c r="D562" s="14"/>
      <c r="E562" s="14"/>
      <c r="F562" s="703"/>
      <c r="G562" s="14"/>
      <c r="H562" s="14"/>
      <c r="I562" s="14"/>
      <c r="J562" s="14"/>
      <c r="K562" s="14"/>
      <c r="L562" s="14"/>
      <c r="M562" s="14"/>
      <c r="N562" s="703"/>
      <c r="O562" s="111"/>
      <c r="P562" s="703"/>
      <c r="Q562" s="14"/>
      <c r="R562" s="14"/>
      <c r="S562" s="14"/>
      <c r="T562" s="14"/>
      <c r="U562" s="14"/>
      <c r="V562" s="14"/>
      <c r="W562" s="14"/>
      <c r="X562" s="14"/>
      <c r="Y562" s="14"/>
      <c r="Z562" s="14"/>
      <c r="AA562" s="18"/>
      <c r="AB562" s="19"/>
      <c r="AC562" s="19"/>
      <c r="AD562" s="19"/>
      <c r="AE562" s="19"/>
      <c r="AF562" s="18"/>
      <c r="AG562" s="19"/>
      <c r="AH562" s="19"/>
      <c r="AI562" s="19"/>
      <c r="AJ562" s="19"/>
      <c r="AK562" s="18"/>
      <c r="AL562" s="19"/>
      <c r="AM562" s="19"/>
      <c r="AN562" s="19"/>
      <c r="AO562" s="19"/>
      <c r="AP562" s="18"/>
      <c r="AQ562" s="19"/>
      <c r="AR562" s="19"/>
      <c r="AS562" s="19"/>
      <c r="AT562" s="19"/>
      <c r="AU562" s="18"/>
      <c r="AV562" s="19"/>
      <c r="AW562" s="19"/>
      <c r="AX562" s="19"/>
      <c r="AY562" s="19"/>
      <c r="AZ562" s="18"/>
      <c r="BA562" s="19"/>
      <c r="BB562" s="19"/>
      <c r="BC562" s="19"/>
      <c r="BD562" s="19"/>
      <c r="BE562" s="18"/>
      <c r="BF562" s="19"/>
      <c r="BG562" s="19"/>
      <c r="BH562" s="19"/>
      <c r="BI562" s="19"/>
      <c r="BJ562" s="18"/>
      <c r="BK562" s="19"/>
      <c r="BL562" s="19"/>
      <c r="BM562" s="19"/>
      <c r="BN562" s="19"/>
      <c r="BO562" s="18"/>
      <c r="BP562" s="19"/>
      <c r="BQ562" s="19"/>
      <c r="BR562" s="19"/>
      <c r="BS562" s="19"/>
      <c r="BT562" s="18"/>
      <c r="BU562" s="19"/>
      <c r="BV562" s="19"/>
      <c r="BW562" s="19"/>
      <c r="BX562" s="19"/>
      <c r="BY562" s="18"/>
      <c r="BZ562" s="19"/>
      <c r="CA562" s="19"/>
      <c r="CB562" s="19"/>
      <c r="CC562" s="19"/>
      <c r="CD562" s="18"/>
      <c r="CE562" s="19"/>
      <c r="CF562" s="19"/>
      <c r="CG562" s="19"/>
      <c r="CH562" s="19"/>
      <c r="CI562" s="18"/>
      <c r="CJ562" s="19"/>
      <c r="CK562" s="19"/>
      <c r="CL562" s="19"/>
      <c r="CM562" s="19"/>
      <c r="CN562" s="687"/>
      <c r="CO562" s="687"/>
      <c r="CP562" s="687"/>
      <c r="CQ562" s="687"/>
      <c r="CR562" s="687"/>
      <c r="CS562" s="687"/>
      <c r="CT562" s="14"/>
    </row>
    <row r="563" spans="1:98" s="4" customFormat="1" x14ac:dyDescent="0.3">
      <c r="A563" s="14"/>
      <c r="B563" s="292"/>
      <c r="C563" s="292"/>
      <c r="D563" s="14"/>
      <c r="E563" s="14"/>
      <c r="F563" s="703"/>
      <c r="G563" s="14"/>
      <c r="H563" s="14"/>
      <c r="I563" s="14"/>
      <c r="J563" s="14"/>
      <c r="K563" s="14"/>
      <c r="L563" s="14"/>
      <c r="M563" s="14"/>
      <c r="N563" s="703"/>
      <c r="O563" s="111"/>
      <c r="P563" s="703"/>
      <c r="Q563" s="14"/>
      <c r="R563" s="14"/>
      <c r="S563" s="14"/>
      <c r="T563" s="14"/>
      <c r="U563" s="14"/>
      <c r="V563" s="14"/>
      <c r="W563" s="14"/>
      <c r="X563" s="14"/>
      <c r="Y563" s="14"/>
      <c r="Z563" s="14"/>
      <c r="AA563" s="18"/>
      <c r="AB563" s="19"/>
      <c r="AC563" s="19"/>
      <c r="AD563" s="19"/>
      <c r="AE563" s="19"/>
      <c r="AF563" s="18"/>
      <c r="AG563" s="19"/>
      <c r="AH563" s="19"/>
      <c r="AI563" s="19"/>
      <c r="AJ563" s="19"/>
      <c r="AK563" s="18"/>
      <c r="AL563" s="19"/>
      <c r="AM563" s="19"/>
      <c r="AN563" s="19"/>
      <c r="AO563" s="19"/>
      <c r="AP563" s="18"/>
      <c r="AQ563" s="19"/>
      <c r="AR563" s="19"/>
      <c r="AS563" s="19"/>
      <c r="AT563" s="19"/>
      <c r="AU563" s="18"/>
      <c r="AV563" s="19"/>
      <c r="AW563" s="19"/>
      <c r="AX563" s="19"/>
      <c r="AY563" s="19"/>
      <c r="AZ563" s="18"/>
      <c r="BA563" s="19"/>
      <c r="BB563" s="19"/>
      <c r="BC563" s="19"/>
      <c r="BD563" s="19"/>
      <c r="BE563" s="18"/>
      <c r="BF563" s="19"/>
      <c r="BG563" s="19"/>
      <c r="BH563" s="19"/>
      <c r="BI563" s="19"/>
      <c r="BJ563" s="18"/>
      <c r="BK563" s="19"/>
      <c r="BL563" s="19"/>
      <c r="BM563" s="19"/>
      <c r="BN563" s="19"/>
      <c r="BO563" s="18"/>
      <c r="BP563" s="19"/>
      <c r="BQ563" s="19"/>
      <c r="BR563" s="19"/>
      <c r="BS563" s="19"/>
      <c r="BT563" s="18"/>
      <c r="BU563" s="19"/>
      <c r="BV563" s="19"/>
      <c r="BW563" s="19"/>
      <c r="BX563" s="19"/>
      <c r="BY563" s="18"/>
      <c r="BZ563" s="19"/>
      <c r="CA563" s="19"/>
      <c r="CB563" s="19"/>
      <c r="CC563" s="19"/>
      <c r="CD563" s="18"/>
      <c r="CE563" s="19"/>
      <c r="CF563" s="19"/>
      <c r="CG563" s="19"/>
      <c r="CH563" s="19"/>
      <c r="CI563" s="18"/>
      <c r="CJ563" s="19"/>
      <c r="CK563" s="19"/>
      <c r="CL563" s="19"/>
      <c r="CM563" s="19"/>
      <c r="CN563" s="687"/>
      <c r="CO563" s="687"/>
      <c r="CP563" s="687"/>
      <c r="CQ563" s="687"/>
      <c r="CR563" s="687"/>
      <c r="CS563" s="687"/>
      <c r="CT563" s="14"/>
    </row>
    <row r="564" spans="1:98" s="4" customFormat="1" x14ac:dyDescent="0.3">
      <c r="A564" s="14"/>
      <c r="B564" s="292"/>
      <c r="C564" s="292"/>
      <c r="D564" s="14"/>
      <c r="E564" s="14"/>
      <c r="F564" s="703"/>
      <c r="G564" s="14"/>
      <c r="H564" s="14"/>
      <c r="I564" s="14"/>
      <c r="J564" s="14"/>
      <c r="K564" s="14"/>
      <c r="L564" s="14"/>
      <c r="M564" s="14"/>
      <c r="N564" s="703"/>
      <c r="O564" s="111"/>
      <c r="P564" s="703"/>
      <c r="Q564" s="14"/>
      <c r="R564" s="14"/>
      <c r="S564" s="14"/>
      <c r="T564" s="14"/>
      <c r="U564" s="14"/>
      <c r="V564" s="14"/>
      <c r="W564" s="14"/>
      <c r="X564" s="14"/>
      <c r="Y564" s="14"/>
      <c r="Z564" s="14"/>
      <c r="AA564" s="18"/>
      <c r="AB564" s="19"/>
      <c r="AC564" s="19"/>
      <c r="AD564" s="19"/>
      <c r="AE564" s="19"/>
      <c r="AF564" s="18"/>
      <c r="AG564" s="19"/>
      <c r="AH564" s="19"/>
      <c r="AI564" s="19"/>
      <c r="AJ564" s="19"/>
      <c r="AK564" s="18"/>
      <c r="AL564" s="19"/>
      <c r="AM564" s="19"/>
      <c r="AN564" s="19"/>
      <c r="AO564" s="19"/>
      <c r="AP564" s="18"/>
      <c r="AQ564" s="19"/>
      <c r="AR564" s="19"/>
      <c r="AS564" s="19"/>
      <c r="AT564" s="19"/>
      <c r="AU564" s="18"/>
      <c r="AV564" s="19"/>
      <c r="AW564" s="19"/>
      <c r="AX564" s="19"/>
      <c r="AY564" s="19"/>
      <c r="AZ564" s="18"/>
      <c r="BA564" s="19"/>
      <c r="BB564" s="19"/>
      <c r="BC564" s="19"/>
      <c r="BD564" s="19"/>
      <c r="BE564" s="18"/>
      <c r="BF564" s="19"/>
      <c r="BG564" s="19"/>
      <c r="BH564" s="19"/>
      <c r="BI564" s="19"/>
      <c r="BJ564" s="18"/>
      <c r="BK564" s="19"/>
      <c r="BL564" s="19"/>
      <c r="BM564" s="19"/>
      <c r="BN564" s="19"/>
      <c r="BO564" s="18"/>
      <c r="BP564" s="19"/>
      <c r="BQ564" s="19"/>
      <c r="BR564" s="19"/>
      <c r="BS564" s="19"/>
      <c r="BT564" s="18"/>
      <c r="BU564" s="19"/>
      <c r="BV564" s="19"/>
      <c r="BW564" s="19"/>
      <c r="BX564" s="19"/>
      <c r="BY564" s="18"/>
      <c r="BZ564" s="19"/>
      <c r="CA564" s="19"/>
      <c r="CB564" s="19"/>
      <c r="CC564" s="19"/>
      <c r="CD564" s="18"/>
      <c r="CE564" s="19"/>
      <c r="CF564" s="19"/>
      <c r="CG564" s="19"/>
      <c r="CH564" s="19"/>
      <c r="CI564" s="18"/>
      <c r="CJ564" s="19"/>
      <c r="CK564" s="19"/>
      <c r="CL564" s="19"/>
      <c r="CM564" s="19"/>
      <c r="CN564" s="687"/>
      <c r="CO564" s="687"/>
      <c r="CP564" s="687"/>
      <c r="CQ564" s="687"/>
      <c r="CR564" s="687"/>
      <c r="CS564" s="687"/>
      <c r="CT564" s="14"/>
    </row>
    <row r="565" spans="1:98" s="4" customFormat="1" x14ac:dyDescent="0.3">
      <c r="A565" s="14"/>
      <c r="B565" s="292"/>
      <c r="C565" s="292"/>
      <c r="D565" s="14"/>
      <c r="E565" s="14"/>
      <c r="F565" s="703"/>
      <c r="G565" s="14"/>
      <c r="H565" s="14"/>
      <c r="I565" s="14"/>
      <c r="J565" s="14"/>
      <c r="K565" s="14"/>
      <c r="L565" s="14"/>
      <c r="M565" s="14"/>
      <c r="N565" s="703"/>
      <c r="O565" s="111"/>
      <c r="P565" s="703"/>
      <c r="Q565" s="14"/>
      <c r="R565" s="14"/>
      <c r="S565" s="14"/>
      <c r="T565" s="14"/>
      <c r="U565" s="14"/>
      <c r="V565" s="14"/>
      <c r="W565" s="14"/>
      <c r="X565" s="14"/>
      <c r="Y565" s="14"/>
      <c r="Z565" s="14"/>
      <c r="AA565" s="18"/>
      <c r="AB565" s="19"/>
      <c r="AC565" s="19"/>
      <c r="AD565" s="19"/>
      <c r="AE565" s="19"/>
      <c r="AF565" s="18"/>
      <c r="AG565" s="19"/>
      <c r="AH565" s="19"/>
      <c r="AI565" s="19"/>
      <c r="AJ565" s="19"/>
      <c r="AK565" s="18"/>
      <c r="AL565" s="19"/>
      <c r="AM565" s="19"/>
      <c r="AN565" s="19"/>
      <c r="AO565" s="19"/>
      <c r="AP565" s="18"/>
      <c r="AQ565" s="19"/>
      <c r="AR565" s="19"/>
      <c r="AS565" s="19"/>
      <c r="AT565" s="19"/>
      <c r="AU565" s="18"/>
      <c r="AV565" s="19"/>
      <c r="AW565" s="19"/>
      <c r="AX565" s="19"/>
      <c r="AY565" s="19"/>
      <c r="AZ565" s="18"/>
      <c r="BA565" s="19"/>
      <c r="BB565" s="19"/>
      <c r="BC565" s="19"/>
      <c r="BD565" s="19"/>
      <c r="BE565" s="18"/>
      <c r="BF565" s="19"/>
      <c r="BG565" s="19"/>
      <c r="BH565" s="19"/>
      <c r="BI565" s="19"/>
      <c r="BJ565" s="18"/>
      <c r="BK565" s="19"/>
      <c r="BL565" s="19"/>
      <c r="BM565" s="19"/>
      <c r="BN565" s="19"/>
      <c r="BO565" s="18"/>
      <c r="BP565" s="19"/>
      <c r="BQ565" s="19"/>
      <c r="BR565" s="19"/>
      <c r="BS565" s="19"/>
      <c r="BT565" s="18"/>
      <c r="BU565" s="19"/>
      <c r="BV565" s="19"/>
      <c r="BW565" s="19"/>
      <c r="BX565" s="19"/>
      <c r="BY565" s="18"/>
      <c r="BZ565" s="19"/>
      <c r="CA565" s="19"/>
      <c r="CB565" s="19"/>
      <c r="CC565" s="19"/>
      <c r="CD565" s="18"/>
      <c r="CE565" s="19"/>
      <c r="CF565" s="19"/>
      <c r="CG565" s="19"/>
      <c r="CH565" s="19"/>
      <c r="CI565" s="18"/>
      <c r="CJ565" s="19"/>
      <c r="CK565" s="19"/>
      <c r="CL565" s="19"/>
      <c r="CM565" s="19"/>
      <c r="CN565" s="687"/>
      <c r="CO565" s="687"/>
      <c r="CP565" s="687"/>
      <c r="CQ565" s="687"/>
      <c r="CR565" s="687"/>
      <c r="CS565" s="687"/>
      <c r="CT565" s="14"/>
    </row>
    <row r="566" spans="1:98" s="4" customFormat="1" x14ac:dyDescent="0.3">
      <c r="A566" s="14"/>
      <c r="B566" s="292"/>
      <c r="C566" s="292"/>
      <c r="D566" s="14"/>
      <c r="E566" s="14"/>
      <c r="F566" s="703"/>
      <c r="G566" s="14"/>
      <c r="H566" s="14"/>
      <c r="I566" s="14"/>
      <c r="J566" s="14"/>
      <c r="K566" s="14"/>
      <c r="L566" s="14"/>
      <c r="M566" s="14"/>
      <c r="N566" s="703"/>
      <c r="O566" s="111"/>
      <c r="P566" s="703"/>
      <c r="Q566" s="14"/>
      <c r="R566" s="14"/>
      <c r="S566" s="14"/>
      <c r="T566" s="14"/>
      <c r="U566" s="14"/>
      <c r="V566" s="14"/>
      <c r="W566" s="14"/>
      <c r="X566" s="14"/>
      <c r="Y566" s="14"/>
      <c r="Z566" s="14"/>
      <c r="AA566" s="18"/>
      <c r="AB566" s="19"/>
      <c r="AC566" s="19"/>
      <c r="AD566" s="19"/>
      <c r="AE566" s="19"/>
      <c r="AF566" s="18"/>
      <c r="AG566" s="19"/>
      <c r="AH566" s="19"/>
      <c r="AI566" s="19"/>
      <c r="AJ566" s="19"/>
      <c r="AK566" s="18"/>
      <c r="AL566" s="19"/>
      <c r="AM566" s="19"/>
      <c r="AN566" s="19"/>
      <c r="AO566" s="19"/>
      <c r="AP566" s="18"/>
      <c r="AQ566" s="19"/>
      <c r="AR566" s="19"/>
      <c r="AS566" s="19"/>
      <c r="AT566" s="19"/>
      <c r="AU566" s="18"/>
      <c r="AV566" s="19"/>
      <c r="AW566" s="19"/>
      <c r="AX566" s="19"/>
      <c r="AY566" s="19"/>
      <c r="AZ566" s="18"/>
      <c r="BA566" s="19"/>
      <c r="BB566" s="19"/>
      <c r="BC566" s="19"/>
      <c r="BD566" s="19"/>
      <c r="BE566" s="18"/>
      <c r="BF566" s="19"/>
      <c r="BG566" s="19"/>
      <c r="BH566" s="19"/>
      <c r="BI566" s="19"/>
      <c r="BJ566" s="18"/>
      <c r="BK566" s="19"/>
      <c r="BL566" s="19"/>
      <c r="BM566" s="19"/>
      <c r="BN566" s="19"/>
      <c r="BO566" s="18"/>
      <c r="BP566" s="19"/>
      <c r="BQ566" s="19"/>
      <c r="BR566" s="19"/>
      <c r="BS566" s="19"/>
      <c r="BT566" s="18"/>
      <c r="BU566" s="19"/>
      <c r="BV566" s="19"/>
      <c r="BW566" s="19"/>
      <c r="BX566" s="19"/>
      <c r="BY566" s="18"/>
      <c r="BZ566" s="19"/>
      <c r="CA566" s="19"/>
      <c r="CB566" s="19"/>
      <c r="CC566" s="19"/>
      <c r="CD566" s="18"/>
      <c r="CE566" s="19"/>
      <c r="CF566" s="19"/>
      <c r="CG566" s="19"/>
      <c r="CH566" s="19"/>
      <c r="CI566" s="18"/>
      <c r="CJ566" s="19"/>
      <c r="CK566" s="19"/>
      <c r="CL566" s="19"/>
      <c r="CM566" s="19"/>
      <c r="CN566" s="687"/>
      <c r="CO566" s="687"/>
      <c r="CP566" s="687"/>
      <c r="CQ566" s="687"/>
      <c r="CR566" s="687"/>
      <c r="CS566" s="687"/>
      <c r="CT566" s="14"/>
    </row>
    <row r="567" spans="1:98" s="4" customFormat="1" x14ac:dyDescent="0.3">
      <c r="A567" s="14"/>
      <c r="B567" s="292"/>
      <c r="C567" s="292"/>
      <c r="D567" s="14"/>
      <c r="E567" s="14"/>
      <c r="F567" s="703"/>
      <c r="G567" s="14"/>
      <c r="H567" s="14"/>
      <c r="I567" s="14"/>
      <c r="J567" s="14"/>
      <c r="K567" s="14"/>
      <c r="L567" s="14"/>
      <c r="M567" s="14"/>
      <c r="N567" s="703"/>
      <c r="O567" s="111"/>
      <c r="P567" s="703"/>
      <c r="Q567" s="14"/>
      <c r="R567" s="14"/>
      <c r="S567" s="14"/>
      <c r="T567" s="14"/>
      <c r="U567" s="14"/>
      <c r="V567" s="14"/>
      <c r="W567" s="14"/>
      <c r="X567" s="14"/>
      <c r="Y567" s="14"/>
      <c r="Z567" s="14"/>
      <c r="AA567" s="18"/>
      <c r="AB567" s="19"/>
      <c r="AC567" s="19"/>
      <c r="AD567" s="19"/>
      <c r="AE567" s="19"/>
      <c r="AF567" s="18"/>
      <c r="AG567" s="19"/>
      <c r="AH567" s="19"/>
      <c r="AI567" s="19"/>
      <c r="AJ567" s="19"/>
      <c r="AK567" s="18"/>
      <c r="AL567" s="19"/>
      <c r="AM567" s="19"/>
      <c r="AN567" s="19"/>
      <c r="AO567" s="19"/>
      <c r="AP567" s="18"/>
      <c r="AQ567" s="19"/>
      <c r="AR567" s="19"/>
      <c r="AS567" s="19"/>
      <c r="AT567" s="19"/>
      <c r="AU567" s="18"/>
      <c r="AV567" s="19"/>
      <c r="AW567" s="19"/>
      <c r="AX567" s="19"/>
      <c r="AY567" s="19"/>
      <c r="AZ567" s="18"/>
      <c r="BA567" s="19"/>
      <c r="BB567" s="19"/>
      <c r="BC567" s="19"/>
      <c r="BD567" s="19"/>
      <c r="BE567" s="18"/>
      <c r="BF567" s="19"/>
      <c r="BG567" s="19"/>
      <c r="BH567" s="19"/>
      <c r="BI567" s="19"/>
      <c r="BJ567" s="18"/>
      <c r="BK567" s="19"/>
      <c r="BL567" s="19"/>
      <c r="BM567" s="19"/>
      <c r="BN567" s="19"/>
      <c r="BO567" s="18"/>
      <c r="BP567" s="19"/>
      <c r="BQ567" s="19"/>
      <c r="BR567" s="19"/>
      <c r="BS567" s="19"/>
      <c r="BT567" s="18"/>
      <c r="BU567" s="19"/>
      <c r="BV567" s="19"/>
      <c r="BW567" s="19"/>
      <c r="BX567" s="19"/>
      <c r="BY567" s="18"/>
      <c r="BZ567" s="19"/>
      <c r="CA567" s="19"/>
      <c r="CB567" s="19"/>
      <c r="CC567" s="19"/>
      <c r="CD567" s="18"/>
      <c r="CE567" s="19"/>
      <c r="CF567" s="19"/>
      <c r="CG567" s="19"/>
      <c r="CH567" s="19"/>
      <c r="CI567" s="18"/>
      <c r="CJ567" s="19"/>
      <c r="CK567" s="19"/>
      <c r="CL567" s="19"/>
      <c r="CM567" s="19"/>
      <c r="CN567" s="687"/>
      <c r="CO567" s="687"/>
      <c r="CP567" s="687"/>
      <c r="CQ567" s="687"/>
      <c r="CR567" s="687"/>
      <c r="CS567" s="687"/>
      <c r="CT567" s="14"/>
    </row>
    <row r="568" spans="1:98" s="4" customFormat="1" x14ac:dyDescent="0.3">
      <c r="A568" s="14"/>
      <c r="B568" s="292"/>
      <c r="C568" s="292"/>
      <c r="D568" s="14"/>
      <c r="E568" s="14"/>
      <c r="F568" s="703"/>
      <c r="G568" s="14"/>
      <c r="H568" s="14"/>
      <c r="I568" s="14"/>
      <c r="J568" s="14"/>
      <c r="K568" s="14"/>
      <c r="L568" s="14"/>
      <c r="M568" s="14"/>
      <c r="N568" s="703"/>
      <c r="O568" s="111"/>
      <c r="P568" s="703"/>
      <c r="Q568" s="14"/>
      <c r="R568" s="14"/>
      <c r="S568" s="14"/>
      <c r="T568" s="14"/>
      <c r="U568" s="14"/>
      <c r="V568" s="14"/>
      <c r="W568" s="14"/>
      <c r="X568" s="14"/>
      <c r="Y568" s="14"/>
      <c r="Z568" s="14"/>
      <c r="AA568" s="18"/>
      <c r="AB568" s="19"/>
      <c r="AC568" s="19"/>
      <c r="AD568" s="19"/>
      <c r="AE568" s="19"/>
      <c r="AF568" s="18"/>
      <c r="AG568" s="19"/>
      <c r="AH568" s="19"/>
      <c r="AI568" s="19"/>
      <c r="AJ568" s="19"/>
      <c r="AK568" s="18"/>
      <c r="AL568" s="19"/>
      <c r="AM568" s="19"/>
      <c r="AN568" s="19"/>
      <c r="AO568" s="19"/>
      <c r="AP568" s="18"/>
      <c r="AQ568" s="19"/>
      <c r="AR568" s="19"/>
      <c r="AS568" s="19"/>
      <c r="AT568" s="19"/>
      <c r="AU568" s="18"/>
      <c r="AV568" s="19"/>
      <c r="AW568" s="19"/>
      <c r="AX568" s="19"/>
      <c r="AY568" s="19"/>
      <c r="AZ568" s="18"/>
      <c r="BA568" s="19"/>
      <c r="BB568" s="19"/>
      <c r="BC568" s="19"/>
      <c r="BD568" s="19"/>
      <c r="BE568" s="18"/>
      <c r="BF568" s="19"/>
      <c r="BG568" s="19"/>
      <c r="BH568" s="19"/>
      <c r="BI568" s="19"/>
      <c r="BJ568" s="18"/>
      <c r="BK568" s="19"/>
      <c r="BL568" s="19"/>
      <c r="BM568" s="19"/>
      <c r="BN568" s="19"/>
      <c r="BO568" s="18"/>
      <c r="BP568" s="19"/>
      <c r="BQ568" s="19"/>
      <c r="BR568" s="19"/>
      <c r="BS568" s="19"/>
      <c r="BT568" s="18"/>
      <c r="BU568" s="19"/>
      <c r="BV568" s="19"/>
      <c r="BW568" s="19"/>
      <c r="BX568" s="19"/>
      <c r="BY568" s="18"/>
      <c r="BZ568" s="19"/>
      <c r="CA568" s="19"/>
      <c r="CB568" s="19"/>
      <c r="CC568" s="19"/>
      <c r="CD568" s="18"/>
      <c r="CE568" s="19"/>
      <c r="CF568" s="19"/>
      <c r="CG568" s="19"/>
      <c r="CH568" s="19"/>
      <c r="CI568" s="18"/>
      <c r="CJ568" s="19"/>
      <c r="CK568" s="19"/>
      <c r="CL568" s="19"/>
      <c r="CM568" s="19"/>
      <c r="CN568" s="687"/>
      <c r="CO568" s="687"/>
      <c r="CP568" s="687"/>
      <c r="CQ568" s="687"/>
      <c r="CR568" s="687"/>
      <c r="CS568" s="687"/>
      <c r="CT568" s="14"/>
    </row>
    <row r="569" spans="1:98" s="4" customFormat="1" x14ac:dyDescent="0.3">
      <c r="A569" s="14"/>
      <c r="B569" s="292"/>
      <c r="C569" s="292"/>
      <c r="D569" s="14"/>
      <c r="E569" s="14"/>
      <c r="F569" s="703"/>
      <c r="G569" s="14"/>
      <c r="H569" s="14"/>
      <c r="I569" s="14"/>
      <c r="J569" s="14"/>
      <c r="K569" s="14"/>
      <c r="L569" s="14"/>
      <c r="M569" s="14"/>
      <c r="N569" s="703"/>
      <c r="O569" s="111"/>
      <c r="P569" s="703"/>
      <c r="Q569" s="14"/>
      <c r="R569" s="14"/>
      <c r="S569" s="14"/>
      <c r="T569" s="14"/>
      <c r="U569" s="14"/>
      <c r="V569" s="14"/>
      <c r="W569" s="14"/>
      <c r="X569" s="14"/>
      <c r="Y569" s="14"/>
      <c r="Z569" s="14"/>
      <c r="AA569" s="18"/>
      <c r="AB569" s="19"/>
      <c r="AC569" s="19"/>
      <c r="AD569" s="19"/>
      <c r="AE569" s="19"/>
      <c r="AF569" s="18"/>
      <c r="AG569" s="19"/>
      <c r="AH569" s="19"/>
      <c r="AI569" s="19"/>
      <c r="AJ569" s="19"/>
      <c r="AK569" s="18"/>
      <c r="AL569" s="19"/>
      <c r="AM569" s="19"/>
      <c r="AN569" s="19"/>
      <c r="AO569" s="19"/>
      <c r="AP569" s="18"/>
      <c r="AQ569" s="19"/>
      <c r="AR569" s="19"/>
      <c r="AS569" s="19"/>
      <c r="AT569" s="19"/>
      <c r="AU569" s="18"/>
      <c r="AV569" s="19"/>
      <c r="AW569" s="19"/>
      <c r="AX569" s="19"/>
      <c r="AY569" s="19"/>
      <c r="AZ569" s="18"/>
      <c r="BA569" s="19"/>
      <c r="BB569" s="19"/>
      <c r="BC569" s="19"/>
      <c r="BD569" s="19"/>
      <c r="BE569" s="18"/>
      <c r="BF569" s="19"/>
      <c r="BG569" s="19"/>
      <c r="BH569" s="19"/>
      <c r="BI569" s="19"/>
      <c r="BJ569" s="18"/>
      <c r="BK569" s="19"/>
      <c r="BL569" s="19"/>
      <c r="BM569" s="19"/>
      <c r="BN569" s="19"/>
      <c r="BO569" s="18"/>
      <c r="BP569" s="19"/>
      <c r="BQ569" s="19"/>
      <c r="BR569" s="19"/>
      <c r="BS569" s="19"/>
      <c r="BT569" s="18"/>
      <c r="BU569" s="19"/>
      <c r="BV569" s="19"/>
      <c r="BW569" s="19"/>
      <c r="BX569" s="19"/>
      <c r="BY569" s="18"/>
      <c r="BZ569" s="19"/>
      <c r="CA569" s="19"/>
      <c r="CB569" s="19"/>
      <c r="CC569" s="19"/>
      <c r="CD569" s="18"/>
      <c r="CE569" s="19"/>
      <c r="CF569" s="19"/>
      <c r="CG569" s="19"/>
      <c r="CH569" s="19"/>
      <c r="CI569" s="18"/>
      <c r="CJ569" s="19"/>
      <c r="CK569" s="19"/>
      <c r="CL569" s="19"/>
      <c r="CM569" s="19"/>
      <c r="CN569" s="687"/>
      <c r="CO569" s="687"/>
      <c r="CP569" s="687"/>
      <c r="CQ569" s="687"/>
      <c r="CR569" s="687"/>
      <c r="CS569" s="687"/>
      <c r="CT569" s="14"/>
    </row>
    <row r="570" spans="1:98" s="4" customFormat="1" x14ac:dyDescent="0.3">
      <c r="A570" s="14"/>
      <c r="B570" s="292"/>
      <c r="C570" s="292"/>
      <c r="D570" s="14"/>
      <c r="E570" s="14"/>
      <c r="F570" s="703"/>
      <c r="G570" s="14"/>
      <c r="H570" s="14"/>
      <c r="I570" s="14"/>
      <c r="J570" s="14"/>
      <c r="K570" s="14"/>
      <c r="L570" s="14"/>
      <c r="M570" s="14"/>
      <c r="N570" s="703"/>
      <c r="O570" s="111"/>
      <c r="P570" s="703"/>
      <c r="Q570" s="14"/>
      <c r="R570" s="14"/>
      <c r="S570" s="14"/>
      <c r="T570" s="14"/>
      <c r="U570" s="14"/>
      <c r="V570" s="14"/>
      <c r="W570" s="14"/>
      <c r="X570" s="14"/>
      <c r="Y570" s="14"/>
      <c r="Z570" s="14"/>
      <c r="AA570" s="18"/>
      <c r="AB570" s="19"/>
      <c r="AC570" s="19"/>
      <c r="AD570" s="19"/>
      <c r="AE570" s="19"/>
      <c r="AF570" s="18"/>
      <c r="AG570" s="19"/>
      <c r="AH570" s="19"/>
      <c r="AI570" s="19"/>
      <c r="AJ570" s="19"/>
      <c r="AK570" s="18"/>
      <c r="AL570" s="19"/>
      <c r="AM570" s="19"/>
      <c r="AN570" s="19"/>
      <c r="AO570" s="19"/>
      <c r="AP570" s="18"/>
      <c r="AQ570" s="19"/>
      <c r="AR570" s="19"/>
      <c r="AS570" s="19"/>
      <c r="AT570" s="19"/>
      <c r="AU570" s="18"/>
      <c r="AV570" s="19"/>
      <c r="AW570" s="19"/>
      <c r="AX570" s="19"/>
      <c r="AY570" s="19"/>
      <c r="AZ570" s="18"/>
      <c r="BA570" s="19"/>
      <c r="BB570" s="19"/>
      <c r="BC570" s="19"/>
      <c r="BD570" s="19"/>
      <c r="BE570" s="18"/>
      <c r="BF570" s="19"/>
      <c r="BG570" s="19"/>
      <c r="BH570" s="19"/>
      <c r="BI570" s="19"/>
      <c r="BJ570" s="18"/>
      <c r="BK570" s="19"/>
      <c r="BL570" s="19"/>
      <c r="BM570" s="19"/>
      <c r="BN570" s="19"/>
      <c r="BO570" s="18"/>
      <c r="BP570" s="19"/>
      <c r="BQ570" s="19"/>
      <c r="BR570" s="19"/>
      <c r="BS570" s="19"/>
      <c r="BT570" s="18"/>
      <c r="BU570" s="19"/>
      <c r="BV570" s="19"/>
      <c r="BW570" s="19"/>
      <c r="BX570" s="19"/>
      <c r="BY570" s="18"/>
      <c r="BZ570" s="19"/>
      <c r="CA570" s="19"/>
      <c r="CB570" s="19"/>
      <c r="CC570" s="19"/>
      <c r="CD570" s="18"/>
      <c r="CE570" s="19"/>
      <c r="CF570" s="19"/>
      <c r="CG570" s="19"/>
      <c r="CH570" s="19"/>
      <c r="CI570" s="18"/>
      <c r="CJ570" s="19"/>
      <c r="CK570" s="19"/>
      <c r="CL570" s="19"/>
      <c r="CM570" s="19"/>
      <c r="CN570" s="687"/>
      <c r="CO570" s="687"/>
      <c r="CP570" s="687"/>
      <c r="CQ570" s="687"/>
      <c r="CR570" s="687"/>
      <c r="CS570" s="687"/>
      <c r="CT570" s="14"/>
    </row>
    <row r="571" spans="1:98" s="4" customFormat="1" x14ac:dyDescent="0.3">
      <c r="A571" s="14"/>
      <c r="B571" s="292"/>
      <c r="C571" s="292"/>
      <c r="D571" s="14"/>
      <c r="E571" s="14"/>
      <c r="F571" s="703"/>
      <c r="G571" s="14"/>
      <c r="H571" s="14"/>
      <c r="I571" s="14"/>
      <c r="J571" s="14"/>
      <c r="K571" s="14"/>
      <c r="L571" s="14"/>
      <c r="M571" s="14"/>
      <c r="N571" s="703"/>
      <c r="O571" s="111"/>
      <c r="P571" s="703"/>
      <c r="Q571" s="14"/>
      <c r="R571" s="14"/>
      <c r="S571" s="14"/>
      <c r="T571" s="14"/>
      <c r="U571" s="14"/>
      <c r="V571" s="14"/>
      <c r="W571" s="14"/>
      <c r="X571" s="14"/>
      <c r="Y571" s="14"/>
      <c r="Z571" s="14"/>
      <c r="AA571" s="18"/>
      <c r="AB571" s="19"/>
      <c r="AC571" s="19"/>
      <c r="AD571" s="19"/>
      <c r="AE571" s="19"/>
      <c r="AF571" s="18"/>
      <c r="AG571" s="19"/>
      <c r="AH571" s="19"/>
      <c r="AI571" s="19"/>
      <c r="AJ571" s="19"/>
      <c r="AK571" s="18"/>
      <c r="AL571" s="19"/>
      <c r="AM571" s="19"/>
      <c r="AN571" s="19"/>
      <c r="AO571" s="19"/>
      <c r="AP571" s="18"/>
      <c r="AQ571" s="19"/>
      <c r="AR571" s="19"/>
      <c r="AS571" s="19"/>
      <c r="AT571" s="19"/>
      <c r="AU571" s="18"/>
      <c r="AV571" s="19"/>
      <c r="AW571" s="19"/>
      <c r="AX571" s="19"/>
      <c r="AY571" s="19"/>
      <c r="AZ571" s="18"/>
      <c r="BA571" s="19"/>
      <c r="BB571" s="19"/>
      <c r="BC571" s="19"/>
      <c r="BD571" s="19"/>
      <c r="BE571" s="18"/>
      <c r="BF571" s="19"/>
      <c r="BG571" s="19"/>
      <c r="BH571" s="19"/>
      <c r="BI571" s="19"/>
      <c r="BJ571" s="18"/>
      <c r="BK571" s="19"/>
      <c r="BL571" s="19"/>
      <c r="BM571" s="19"/>
      <c r="BN571" s="19"/>
      <c r="BO571" s="18"/>
      <c r="BP571" s="19"/>
      <c r="BQ571" s="19"/>
      <c r="BR571" s="19"/>
      <c r="BS571" s="19"/>
      <c r="BT571" s="18"/>
      <c r="BU571" s="19"/>
      <c r="BV571" s="19"/>
      <c r="BW571" s="19"/>
      <c r="BX571" s="19"/>
      <c r="BY571" s="18"/>
      <c r="BZ571" s="19"/>
      <c r="CA571" s="19"/>
      <c r="CB571" s="19"/>
      <c r="CC571" s="19"/>
      <c r="CD571" s="18"/>
      <c r="CE571" s="19"/>
      <c r="CF571" s="19"/>
      <c r="CG571" s="19"/>
      <c r="CH571" s="19"/>
      <c r="CI571" s="18"/>
      <c r="CJ571" s="19"/>
      <c r="CK571" s="19"/>
      <c r="CL571" s="19"/>
      <c r="CM571" s="19"/>
      <c r="CN571" s="687"/>
      <c r="CO571" s="687"/>
      <c r="CP571" s="687"/>
      <c r="CQ571" s="687"/>
      <c r="CR571" s="687"/>
      <c r="CS571" s="687"/>
      <c r="CT571" s="14"/>
    </row>
    <row r="572" spans="1:98" s="4" customFormat="1" x14ac:dyDescent="0.3">
      <c r="A572" s="14"/>
      <c r="B572" s="292"/>
      <c r="C572" s="292"/>
      <c r="D572" s="14"/>
      <c r="E572" s="14"/>
      <c r="F572" s="703"/>
      <c r="G572" s="14"/>
      <c r="H572" s="14"/>
      <c r="I572" s="14"/>
      <c r="J572" s="14"/>
      <c r="K572" s="14"/>
      <c r="L572" s="14"/>
      <c r="M572" s="14"/>
      <c r="N572" s="703"/>
      <c r="O572" s="111"/>
      <c r="P572" s="703"/>
      <c r="Q572" s="14"/>
      <c r="R572" s="14"/>
      <c r="S572" s="14"/>
      <c r="T572" s="14"/>
      <c r="U572" s="14"/>
      <c r="V572" s="14"/>
      <c r="W572" s="14"/>
      <c r="X572" s="14"/>
      <c r="Y572" s="14"/>
      <c r="Z572" s="14"/>
      <c r="AA572" s="18"/>
      <c r="AB572" s="19"/>
      <c r="AC572" s="19"/>
      <c r="AD572" s="19"/>
      <c r="AE572" s="19"/>
      <c r="AF572" s="18"/>
      <c r="AG572" s="19"/>
      <c r="AH572" s="19"/>
      <c r="AI572" s="19"/>
      <c r="AJ572" s="19"/>
      <c r="AK572" s="18"/>
      <c r="AL572" s="19"/>
      <c r="AM572" s="19"/>
      <c r="AN572" s="19"/>
      <c r="AO572" s="19"/>
      <c r="AP572" s="18"/>
      <c r="AQ572" s="19"/>
      <c r="AR572" s="19"/>
      <c r="AS572" s="19"/>
      <c r="AT572" s="19"/>
      <c r="AU572" s="18"/>
      <c r="AV572" s="19"/>
      <c r="AW572" s="19"/>
      <c r="AX572" s="19"/>
      <c r="AY572" s="19"/>
      <c r="AZ572" s="18"/>
      <c r="BA572" s="19"/>
      <c r="BB572" s="19"/>
      <c r="BC572" s="19"/>
      <c r="BD572" s="19"/>
      <c r="BE572" s="18"/>
      <c r="BF572" s="19"/>
      <c r="BG572" s="19"/>
      <c r="BH572" s="19"/>
      <c r="BI572" s="19"/>
      <c r="BJ572" s="18"/>
      <c r="BK572" s="19"/>
      <c r="BL572" s="19"/>
      <c r="BM572" s="19"/>
      <c r="BN572" s="19"/>
      <c r="BO572" s="18"/>
      <c r="BP572" s="19"/>
      <c r="BQ572" s="19"/>
      <c r="BR572" s="19"/>
      <c r="BS572" s="19"/>
      <c r="BT572" s="18"/>
      <c r="BU572" s="19"/>
      <c r="BV572" s="19"/>
      <c r="BW572" s="19"/>
      <c r="BX572" s="19"/>
      <c r="BY572" s="18"/>
      <c r="BZ572" s="19"/>
      <c r="CA572" s="19"/>
      <c r="CB572" s="19"/>
      <c r="CC572" s="19"/>
      <c r="CD572" s="18"/>
      <c r="CE572" s="19"/>
      <c r="CF572" s="19"/>
      <c r="CG572" s="19"/>
      <c r="CH572" s="19"/>
      <c r="CI572" s="18"/>
      <c r="CJ572" s="19"/>
      <c r="CK572" s="19"/>
      <c r="CL572" s="19"/>
      <c r="CM572" s="19"/>
      <c r="CN572" s="687"/>
      <c r="CO572" s="687"/>
      <c r="CP572" s="687"/>
      <c r="CQ572" s="687"/>
      <c r="CR572" s="687"/>
      <c r="CS572" s="687"/>
      <c r="CT572" s="14"/>
    </row>
    <row r="573" spans="1:98" s="4" customFormat="1" x14ac:dyDescent="0.3">
      <c r="A573" s="14"/>
      <c r="B573" s="292"/>
      <c r="C573" s="292"/>
      <c r="D573" s="14"/>
      <c r="E573" s="14"/>
      <c r="F573" s="703"/>
      <c r="G573" s="14"/>
      <c r="H573" s="14"/>
      <c r="I573" s="14"/>
      <c r="J573" s="14"/>
      <c r="K573" s="14"/>
      <c r="L573" s="14"/>
      <c r="M573" s="14"/>
      <c r="N573" s="703"/>
      <c r="O573" s="111"/>
      <c r="P573" s="703"/>
      <c r="Q573" s="14"/>
      <c r="R573" s="14"/>
      <c r="S573" s="14"/>
      <c r="T573" s="14"/>
      <c r="U573" s="14"/>
      <c r="V573" s="14"/>
      <c r="W573" s="14"/>
      <c r="X573" s="14"/>
      <c r="Y573" s="14"/>
      <c r="Z573" s="14"/>
      <c r="AA573" s="18"/>
      <c r="AB573" s="19"/>
      <c r="AC573" s="19"/>
      <c r="AD573" s="19"/>
      <c r="AE573" s="19"/>
      <c r="AF573" s="18"/>
      <c r="AG573" s="19"/>
      <c r="AH573" s="19"/>
      <c r="AI573" s="19"/>
      <c r="AJ573" s="19"/>
      <c r="AK573" s="18"/>
      <c r="AL573" s="19"/>
      <c r="AM573" s="19"/>
      <c r="AN573" s="19"/>
      <c r="AO573" s="19"/>
      <c r="AP573" s="18"/>
      <c r="AQ573" s="19"/>
      <c r="AR573" s="19"/>
      <c r="AS573" s="19"/>
      <c r="AT573" s="19"/>
      <c r="AU573" s="18"/>
      <c r="AV573" s="19"/>
      <c r="AW573" s="19"/>
      <c r="AX573" s="19"/>
      <c r="AY573" s="19"/>
      <c r="AZ573" s="18"/>
      <c r="BA573" s="19"/>
      <c r="BB573" s="19"/>
      <c r="BC573" s="19"/>
      <c r="BD573" s="19"/>
      <c r="BE573" s="18"/>
      <c r="BF573" s="19"/>
      <c r="BG573" s="19"/>
      <c r="BH573" s="19"/>
      <c r="BI573" s="19"/>
      <c r="BJ573" s="18"/>
      <c r="BK573" s="19"/>
      <c r="BL573" s="19"/>
      <c r="BM573" s="19"/>
      <c r="BN573" s="19"/>
      <c r="BO573" s="18"/>
      <c r="BP573" s="19"/>
      <c r="BQ573" s="19"/>
      <c r="BR573" s="19"/>
      <c r="BS573" s="19"/>
      <c r="BT573" s="18"/>
      <c r="BU573" s="19"/>
      <c r="BV573" s="19"/>
      <c r="BW573" s="19"/>
      <c r="BX573" s="19"/>
      <c r="BY573" s="18"/>
      <c r="BZ573" s="19"/>
      <c r="CA573" s="19"/>
      <c r="CB573" s="19"/>
      <c r="CC573" s="19"/>
      <c r="CD573" s="18"/>
      <c r="CE573" s="19"/>
      <c r="CF573" s="19"/>
      <c r="CG573" s="19"/>
      <c r="CH573" s="19"/>
      <c r="CI573" s="18"/>
      <c r="CJ573" s="19"/>
      <c r="CK573" s="19"/>
      <c r="CL573" s="19"/>
      <c r="CM573" s="19"/>
      <c r="CN573" s="687"/>
      <c r="CO573" s="687"/>
      <c r="CP573" s="687"/>
      <c r="CQ573" s="687"/>
      <c r="CR573" s="687"/>
      <c r="CS573" s="687"/>
      <c r="CT573" s="14"/>
    </row>
    <row r="574" spans="1:98" s="4" customFormat="1" x14ac:dyDescent="0.3">
      <c r="A574" s="14"/>
      <c r="B574" s="292"/>
      <c r="C574" s="292"/>
      <c r="D574" s="14"/>
      <c r="E574" s="14"/>
      <c r="F574" s="703"/>
      <c r="G574" s="14"/>
      <c r="H574" s="14"/>
      <c r="I574" s="14"/>
      <c r="J574" s="14"/>
      <c r="K574" s="14"/>
      <c r="L574" s="14"/>
      <c r="M574" s="14"/>
      <c r="N574" s="703"/>
      <c r="O574" s="111"/>
      <c r="P574" s="703"/>
      <c r="Q574" s="14"/>
      <c r="R574" s="14"/>
      <c r="S574" s="14"/>
      <c r="T574" s="14"/>
      <c r="U574" s="14"/>
      <c r="V574" s="14"/>
      <c r="W574" s="14"/>
      <c r="X574" s="14"/>
      <c r="Y574" s="14"/>
      <c r="Z574" s="14"/>
      <c r="AA574" s="18"/>
      <c r="AB574" s="19"/>
      <c r="AC574" s="19"/>
      <c r="AD574" s="19"/>
      <c r="AE574" s="19"/>
      <c r="AF574" s="18"/>
      <c r="AG574" s="19"/>
      <c r="AH574" s="19"/>
      <c r="AI574" s="19"/>
      <c r="AJ574" s="19"/>
      <c r="AK574" s="18"/>
      <c r="AL574" s="19"/>
      <c r="AM574" s="19"/>
      <c r="AN574" s="19"/>
      <c r="AO574" s="19"/>
      <c r="AP574" s="18"/>
      <c r="AQ574" s="19"/>
      <c r="AR574" s="19"/>
      <c r="AS574" s="19"/>
      <c r="AT574" s="19"/>
      <c r="AU574" s="18"/>
      <c r="AV574" s="19"/>
      <c r="AW574" s="19"/>
      <c r="AX574" s="19"/>
      <c r="AY574" s="19"/>
      <c r="AZ574" s="18"/>
      <c r="BA574" s="19"/>
      <c r="BB574" s="19"/>
      <c r="BC574" s="19"/>
      <c r="BD574" s="19"/>
      <c r="BE574" s="18"/>
      <c r="BF574" s="19"/>
      <c r="BG574" s="19"/>
      <c r="BH574" s="19"/>
      <c r="BI574" s="19"/>
      <c r="BJ574" s="18"/>
      <c r="BK574" s="19"/>
      <c r="BL574" s="19"/>
      <c r="BM574" s="19"/>
      <c r="BN574" s="19"/>
      <c r="BO574" s="18"/>
      <c r="BP574" s="19"/>
      <c r="BQ574" s="19"/>
      <c r="BR574" s="19"/>
      <c r="BS574" s="19"/>
      <c r="BT574" s="18"/>
      <c r="BU574" s="19"/>
      <c r="BV574" s="19"/>
      <c r="BW574" s="19"/>
      <c r="BX574" s="19"/>
      <c r="BY574" s="18"/>
      <c r="BZ574" s="19"/>
      <c r="CA574" s="19"/>
      <c r="CB574" s="19"/>
      <c r="CC574" s="19"/>
      <c r="CD574" s="18"/>
      <c r="CE574" s="19"/>
      <c r="CF574" s="19"/>
      <c r="CG574" s="19"/>
      <c r="CH574" s="19"/>
      <c r="CI574" s="18"/>
      <c r="CJ574" s="19"/>
      <c r="CK574" s="19"/>
      <c r="CL574" s="19"/>
      <c r="CM574" s="19"/>
      <c r="CN574" s="687"/>
      <c r="CO574" s="687"/>
      <c r="CP574" s="687"/>
      <c r="CQ574" s="687"/>
      <c r="CR574" s="687"/>
      <c r="CS574" s="687"/>
      <c r="CT574" s="14"/>
    </row>
    <row r="575" spans="1:98" s="4" customFormat="1" x14ac:dyDescent="0.3">
      <c r="A575" s="14"/>
      <c r="B575" s="292"/>
      <c r="C575" s="292"/>
      <c r="D575" s="14"/>
      <c r="E575" s="14"/>
      <c r="F575" s="703"/>
      <c r="G575" s="14"/>
      <c r="H575" s="14"/>
      <c r="I575" s="14"/>
      <c r="J575" s="14"/>
      <c r="K575" s="14"/>
      <c r="L575" s="14"/>
      <c r="M575" s="14"/>
      <c r="N575" s="703"/>
      <c r="O575" s="111"/>
      <c r="P575" s="703"/>
      <c r="Q575" s="14"/>
      <c r="R575" s="14"/>
      <c r="S575" s="14"/>
      <c r="T575" s="14"/>
      <c r="U575" s="14"/>
      <c r="V575" s="14"/>
      <c r="W575" s="14"/>
      <c r="X575" s="14"/>
      <c r="Y575" s="14"/>
      <c r="Z575" s="14"/>
      <c r="AA575" s="18"/>
      <c r="AB575" s="19"/>
      <c r="AC575" s="19"/>
      <c r="AD575" s="19"/>
      <c r="AE575" s="19"/>
      <c r="AF575" s="18"/>
      <c r="AG575" s="19"/>
      <c r="AH575" s="19"/>
      <c r="AI575" s="19"/>
      <c r="AJ575" s="19"/>
      <c r="AK575" s="18"/>
      <c r="AL575" s="19"/>
      <c r="AM575" s="19"/>
      <c r="AN575" s="19"/>
      <c r="AO575" s="19"/>
      <c r="AP575" s="18"/>
      <c r="AQ575" s="19"/>
      <c r="AR575" s="19"/>
      <c r="AS575" s="19"/>
      <c r="AT575" s="19"/>
      <c r="AU575" s="18"/>
      <c r="AV575" s="19"/>
      <c r="AW575" s="19"/>
      <c r="AX575" s="19"/>
      <c r="AY575" s="19"/>
      <c r="AZ575" s="18"/>
      <c r="BA575" s="19"/>
      <c r="BB575" s="19"/>
      <c r="BC575" s="19"/>
      <c r="BD575" s="19"/>
      <c r="BE575" s="18"/>
      <c r="BF575" s="19"/>
      <c r="BG575" s="19"/>
      <c r="BH575" s="19"/>
      <c r="BI575" s="19"/>
      <c r="BJ575" s="18"/>
      <c r="BK575" s="19"/>
      <c r="BL575" s="19"/>
      <c r="BM575" s="19"/>
      <c r="BN575" s="19"/>
      <c r="BO575" s="18"/>
      <c r="BP575" s="19"/>
      <c r="BQ575" s="19"/>
      <c r="BR575" s="19"/>
      <c r="BS575" s="19"/>
      <c r="BT575" s="18"/>
      <c r="BU575" s="19"/>
      <c r="BV575" s="19"/>
      <c r="BW575" s="19"/>
      <c r="BX575" s="19"/>
      <c r="BY575" s="18"/>
      <c r="BZ575" s="19"/>
      <c r="CA575" s="19"/>
      <c r="CB575" s="19"/>
      <c r="CC575" s="19"/>
      <c r="CD575" s="18"/>
      <c r="CE575" s="19"/>
      <c r="CF575" s="19"/>
      <c r="CG575" s="19"/>
      <c r="CH575" s="19"/>
      <c r="CI575" s="18"/>
      <c r="CJ575" s="19"/>
      <c r="CK575" s="19"/>
      <c r="CL575" s="19"/>
      <c r="CM575" s="19"/>
      <c r="CN575" s="687"/>
      <c r="CO575" s="687"/>
      <c r="CP575" s="687"/>
      <c r="CQ575" s="687"/>
      <c r="CR575" s="687"/>
      <c r="CS575" s="687"/>
      <c r="CT575" s="14"/>
    </row>
    <row r="576" spans="1:98" s="4" customFormat="1" x14ac:dyDescent="0.3">
      <c r="A576" s="14"/>
      <c r="B576" s="292"/>
      <c r="C576" s="292"/>
      <c r="D576" s="14"/>
      <c r="E576" s="14"/>
      <c r="F576" s="703"/>
      <c r="G576" s="14"/>
      <c r="H576" s="14"/>
      <c r="I576" s="14"/>
      <c r="J576" s="14"/>
      <c r="K576" s="14"/>
      <c r="L576" s="14"/>
      <c r="M576" s="14"/>
      <c r="N576" s="703"/>
      <c r="O576" s="111"/>
      <c r="P576" s="703"/>
      <c r="Q576" s="14"/>
      <c r="R576" s="14"/>
      <c r="S576" s="14"/>
      <c r="T576" s="14"/>
      <c r="U576" s="14"/>
      <c r="V576" s="14"/>
      <c r="W576" s="14"/>
      <c r="X576" s="14"/>
      <c r="Y576" s="14"/>
      <c r="Z576" s="14"/>
      <c r="AA576" s="18"/>
      <c r="AB576" s="19"/>
      <c r="AC576" s="19"/>
      <c r="AD576" s="19"/>
      <c r="AE576" s="19"/>
      <c r="AF576" s="18"/>
      <c r="AG576" s="19"/>
      <c r="AH576" s="19"/>
      <c r="AI576" s="19"/>
      <c r="AJ576" s="19"/>
      <c r="AK576" s="18"/>
      <c r="AL576" s="19"/>
      <c r="AM576" s="19"/>
      <c r="AN576" s="19"/>
      <c r="AO576" s="19"/>
      <c r="AP576" s="18"/>
      <c r="AQ576" s="19"/>
      <c r="AR576" s="19"/>
      <c r="AS576" s="19"/>
      <c r="AT576" s="19"/>
      <c r="AU576" s="18"/>
      <c r="AV576" s="19"/>
      <c r="AW576" s="19"/>
      <c r="AX576" s="19"/>
      <c r="AY576" s="19"/>
      <c r="AZ576" s="18"/>
      <c r="BA576" s="19"/>
      <c r="BB576" s="19"/>
      <c r="BC576" s="19"/>
      <c r="BD576" s="19"/>
      <c r="BE576" s="18"/>
      <c r="BF576" s="19"/>
      <c r="BG576" s="19"/>
      <c r="BH576" s="19"/>
      <c r="BI576" s="19"/>
      <c r="BJ576" s="18"/>
      <c r="BK576" s="19"/>
      <c r="BL576" s="19"/>
      <c r="BM576" s="19"/>
      <c r="BN576" s="19"/>
      <c r="BO576" s="18"/>
      <c r="BP576" s="19"/>
      <c r="BQ576" s="19"/>
      <c r="BR576" s="19"/>
      <c r="BS576" s="19"/>
      <c r="BT576" s="18"/>
      <c r="BU576" s="19"/>
      <c r="BV576" s="19"/>
      <c r="BW576" s="19"/>
      <c r="BX576" s="19"/>
      <c r="BY576" s="18"/>
      <c r="BZ576" s="19"/>
      <c r="CA576" s="19"/>
      <c r="CB576" s="19"/>
      <c r="CC576" s="19"/>
      <c r="CD576" s="18"/>
      <c r="CE576" s="19"/>
      <c r="CF576" s="19"/>
      <c r="CG576" s="19"/>
      <c r="CH576" s="19"/>
      <c r="CI576" s="18"/>
      <c r="CJ576" s="19"/>
      <c r="CK576" s="19"/>
      <c r="CL576" s="19"/>
      <c r="CM576" s="19"/>
      <c r="CN576" s="687"/>
      <c r="CO576" s="687"/>
      <c r="CP576" s="687"/>
      <c r="CQ576" s="687"/>
      <c r="CR576" s="687"/>
      <c r="CS576" s="687"/>
      <c r="CT576" s="14"/>
    </row>
    <row r="577" spans="1:98" s="4" customFormat="1" x14ac:dyDescent="0.3">
      <c r="A577" s="14"/>
      <c r="B577" s="292"/>
      <c r="C577" s="292"/>
      <c r="D577" s="14"/>
      <c r="E577" s="14"/>
      <c r="F577" s="703"/>
      <c r="G577" s="14"/>
      <c r="H577" s="14"/>
      <c r="I577" s="14"/>
      <c r="J577" s="14"/>
      <c r="K577" s="14"/>
      <c r="L577" s="14"/>
      <c r="M577" s="14"/>
      <c r="N577" s="703"/>
      <c r="O577" s="111"/>
      <c r="P577" s="703"/>
      <c r="Q577" s="14"/>
      <c r="R577" s="14"/>
      <c r="S577" s="14"/>
      <c r="T577" s="14"/>
      <c r="U577" s="14"/>
      <c r="V577" s="14"/>
      <c r="W577" s="14"/>
      <c r="X577" s="14"/>
      <c r="Y577" s="14"/>
      <c r="Z577" s="14"/>
      <c r="AA577" s="18"/>
      <c r="AB577" s="19"/>
      <c r="AC577" s="19"/>
      <c r="AD577" s="19"/>
      <c r="AE577" s="19"/>
      <c r="AF577" s="18"/>
      <c r="AG577" s="19"/>
      <c r="AH577" s="19"/>
      <c r="AI577" s="19"/>
      <c r="AJ577" s="19"/>
      <c r="AK577" s="18"/>
      <c r="AL577" s="19"/>
      <c r="AM577" s="19"/>
      <c r="AN577" s="19"/>
      <c r="AO577" s="19"/>
      <c r="AP577" s="18"/>
      <c r="AQ577" s="19"/>
      <c r="AR577" s="19"/>
      <c r="AS577" s="19"/>
      <c r="AT577" s="19"/>
      <c r="AU577" s="18"/>
      <c r="AV577" s="19"/>
      <c r="AW577" s="19"/>
      <c r="AX577" s="19"/>
      <c r="AY577" s="19"/>
      <c r="AZ577" s="18"/>
      <c r="BA577" s="19"/>
      <c r="BB577" s="19"/>
      <c r="BC577" s="19"/>
      <c r="BD577" s="19"/>
      <c r="BE577" s="18"/>
      <c r="BF577" s="19"/>
      <c r="BG577" s="19"/>
      <c r="BH577" s="19"/>
      <c r="BI577" s="19"/>
      <c r="BJ577" s="18"/>
      <c r="BK577" s="19"/>
      <c r="BL577" s="19"/>
      <c r="BM577" s="19"/>
      <c r="BN577" s="19"/>
      <c r="BO577" s="18"/>
      <c r="BP577" s="19"/>
      <c r="BQ577" s="19"/>
      <c r="BR577" s="19"/>
      <c r="BS577" s="19"/>
      <c r="BT577" s="18"/>
      <c r="BU577" s="19"/>
      <c r="BV577" s="19"/>
      <c r="BW577" s="19"/>
      <c r="BX577" s="19"/>
      <c r="BY577" s="18"/>
      <c r="BZ577" s="19"/>
      <c r="CA577" s="19"/>
      <c r="CB577" s="19"/>
      <c r="CC577" s="19"/>
      <c r="CD577" s="18"/>
      <c r="CE577" s="19"/>
      <c r="CF577" s="19"/>
      <c r="CG577" s="19"/>
      <c r="CH577" s="19"/>
      <c r="CI577" s="18"/>
      <c r="CJ577" s="19"/>
      <c r="CK577" s="19"/>
      <c r="CL577" s="19"/>
      <c r="CM577" s="19"/>
      <c r="CN577" s="687"/>
      <c r="CO577" s="687"/>
      <c r="CP577" s="687"/>
      <c r="CQ577" s="687"/>
      <c r="CR577" s="687"/>
      <c r="CS577" s="687"/>
      <c r="CT577" s="14"/>
    </row>
    <row r="578" spans="1:98" s="4" customFormat="1" x14ac:dyDescent="0.3">
      <c r="A578" s="14"/>
      <c r="B578" s="292"/>
      <c r="C578" s="292"/>
      <c r="D578" s="14"/>
      <c r="E578" s="14"/>
      <c r="F578" s="703"/>
      <c r="G578" s="14"/>
      <c r="H578" s="14"/>
      <c r="I578" s="14"/>
      <c r="J578" s="14"/>
      <c r="K578" s="14"/>
      <c r="L578" s="14"/>
      <c r="M578" s="14"/>
      <c r="N578" s="703"/>
      <c r="O578" s="111"/>
      <c r="P578" s="703"/>
      <c r="Q578" s="14"/>
      <c r="R578" s="14"/>
      <c r="S578" s="14"/>
      <c r="T578" s="14"/>
      <c r="U578" s="14"/>
      <c r="V578" s="14"/>
      <c r="W578" s="14"/>
      <c r="X578" s="14"/>
      <c r="Y578" s="14"/>
      <c r="Z578" s="14"/>
      <c r="AA578" s="18"/>
      <c r="AB578" s="19"/>
      <c r="AC578" s="19"/>
      <c r="AD578" s="19"/>
      <c r="AE578" s="19"/>
      <c r="AF578" s="18"/>
      <c r="AG578" s="19"/>
      <c r="AH578" s="19"/>
      <c r="AI578" s="19"/>
      <c r="AJ578" s="19"/>
      <c r="AK578" s="18"/>
      <c r="AL578" s="19"/>
      <c r="AM578" s="19"/>
      <c r="AN578" s="19"/>
      <c r="AO578" s="19"/>
      <c r="AP578" s="18"/>
      <c r="AQ578" s="19"/>
      <c r="AR578" s="19"/>
      <c r="AS578" s="19"/>
      <c r="AT578" s="19"/>
      <c r="AU578" s="18"/>
      <c r="AV578" s="19"/>
      <c r="AW578" s="19"/>
      <c r="AX578" s="19"/>
      <c r="AY578" s="19"/>
      <c r="AZ578" s="18"/>
      <c r="BA578" s="19"/>
      <c r="BB578" s="19"/>
      <c r="BC578" s="19"/>
      <c r="BD578" s="19"/>
      <c r="BE578" s="18"/>
      <c r="BF578" s="19"/>
      <c r="BG578" s="19"/>
      <c r="BH578" s="19"/>
      <c r="BI578" s="19"/>
      <c r="BJ578" s="18"/>
      <c r="BK578" s="19"/>
      <c r="BL578" s="19"/>
      <c r="BM578" s="19"/>
      <c r="BN578" s="19"/>
      <c r="BO578" s="18"/>
      <c r="BP578" s="19"/>
      <c r="BQ578" s="19"/>
      <c r="BR578" s="19"/>
      <c r="BS578" s="19"/>
      <c r="BT578" s="18"/>
      <c r="BU578" s="19"/>
      <c r="BV578" s="19"/>
      <c r="BW578" s="19"/>
      <c r="BX578" s="19"/>
      <c r="BY578" s="18"/>
      <c r="BZ578" s="19"/>
      <c r="CA578" s="19"/>
      <c r="CB578" s="19"/>
      <c r="CC578" s="19"/>
      <c r="CD578" s="18"/>
      <c r="CE578" s="19"/>
      <c r="CF578" s="19"/>
      <c r="CG578" s="19"/>
      <c r="CH578" s="19"/>
      <c r="CI578" s="18"/>
      <c r="CJ578" s="19"/>
      <c r="CK578" s="19"/>
      <c r="CL578" s="19"/>
      <c r="CM578" s="19"/>
      <c r="CN578" s="687"/>
      <c r="CO578" s="687"/>
      <c r="CP578" s="687"/>
      <c r="CQ578" s="687"/>
      <c r="CR578" s="687"/>
      <c r="CS578" s="687"/>
      <c r="CT578" s="14"/>
    </row>
    <row r="579" spans="1:98" s="4" customFormat="1" x14ac:dyDescent="0.3">
      <c r="A579" s="14"/>
      <c r="B579" s="292"/>
      <c r="C579" s="292"/>
      <c r="D579" s="14"/>
      <c r="E579" s="14"/>
      <c r="F579" s="703"/>
      <c r="G579" s="14"/>
      <c r="H579" s="14"/>
      <c r="I579" s="14"/>
      <c r="J579" s="14"/>
      <c r="K579" s="14"/>
      <c r="L579" s="14"/>
      <c r="M579" s="14"/>
      <c r="N579" s="703"/>
      <c r="O579" s="111"/>
      <c r="P579" s="703"/>
      <c r="Q579" s="14"/>
      <c r="R579" s="14"/>
      <c r="S579" s="14"/>
      <c r="T579" s="14"/>
      <c r="U579" s="14"/>
      <c r="V579" s="14"/>
      <c r="W579" s="14"/>
      <c r="X579" s="14"/>
      <c r="Y579" s="14"/>
      <c r="Z579" s="14"/>
      <c r="AA579" s="18"/>
      <c r="AB579" s="19"/>
      <c r="AC579" s="19"/>
      <c r="AD579" s="19"/>
      <c r="AE579" s="19"/>
      <c r="AF579" s="18"/>
      <c r="AG579" s="19"/>
      <c r="AH579" s="19"/>
      <c r="AI579" s="19"/>
      <c r="AJ579" s="19"/>
      <c r="AK579" s="18"/>
      <c r="AL579" s="19"/>
      <c r="AM579" s="19"/>
      <c r="AN579" s="19"/>
      <c r="AO579" s="19"/>
      <c r="AP579" s="18"/>
      <c r="AQ579" s="19"/>
      <c r="AR579" s="19"/>
      <c r="AS579" s="19"/>
      <c r="AT579" s="19"/>
      <c r="AU579" s="18"/>
      <c r="AV579" s="19"/>
      <c r="AW579" s="19"/>
      <c r="AX579" s="19"/>
      <c r="AY579" s="19"/>
      <c r="AZ579" s="18"/>
      <c r="BA579" s="19"/>
      <c r="BB579" s="19"/>
      <c r="BC579" s="19"/>
      <c r="BD579" s="19"/>
      <c r="BE579" s="18"/>
      <c r="BF579" s="19"/>
      <c r="BG579" s="19"/>
      <c r="BH579" s="19"/>
      <c r="BI579" s="19"/>
      <c r="BJ579" s="18"/>
      <c r="BK579" s="19"/>
      <c r="BL579" s="19"/>
      <c r="BM579" s="19"/>
      <c r="BN579" s="19"/>
      <c r="BO579" s="18"/>
      <c r="BP579" s="19"/>
      <c r="BQ579" s="19"/>
      <c r="BR579" s="19"/>
      <c r="BS579" s="19"/>
      <c r="BT579" s="18"/>
      <c r="BU579" s="19"/>
      <c r="BV579" s="19"/>
      <c r="BW579" s="19"/>
      <c r="BX579" s="19"/>
      <c r="BY579" s="18"/>
      <c r="BZ579" s="19"/>
      <c r="CA579" s="19"/>
      <c r="CB579" s="19"/>
      <c r="CC579" s="19"/>
      <c r="CD579" s="18"/>
      <c r="CE579" s="19"/>
      <c r="CF579" s="19"/>
      <c r="CG579" s="19"/>
      <c r="CH579" s="19"/>
      <c r="CI579" s="18"/>
      <c r="CJ579" s="19"/>
      <c r="CK579" s="19"/>
      <c r="CL579" s="19"/>
      <c r="CM579" s="19"/>
      <c r="CN579" s="687"/>
      <c r="CO579" s="687"/>
      <c r="CP579" s="687"/>
      <c r="CQ579" s="687"/>
      <c r="CR579" s="687"/>
      <c r="CS579" s="687"/>
      <c r="CT579" s="14"/>
    </row>
    <row r="580" spans="1:98" s="4" customFormat="1" x14ac:dyDescent="0.3">
      <c r="A580" s="14"/>
      <c r="B580" s="292"/>
      <c r="C580" s="292"/>
      <c r="D580" s="14"/>
      <c r="E580" s="14"/>
      <c r="F580" s="703"/>
      <c r="G580" s="14"/>
      <c r="H580" s="14"/>
      <c r="I580" s="14"/>
      <c r="J580" s="14"/>
      <c r="K580" s="14"/>
      <c r="L580" s="14"/>
      <c r="M580" s="14"/>
      <c r="N580" s="703"/>
      <c r="O580" s="111"/>
      <c r="P580" s="703"/>
      <c r="Q580" s="14"/>
      <c r="R580" s="14"/>
      <c r="S580" s="14"/>
      <c r="T580" s="14"/>
      <c r="U580" s="14"/>
      <c r="V580" s="14"/>
      <c r="W580" s="14"/>
      <c r="X580" s="14"/>
      <c r="Y580" s="14"/>
      <c r="Z580" s="14"/>
      <c r="AA580" s="18"/>
      <c r="AB580" s="19"/>
      <c r="AC580" s="19"/>
      <c r="AD580" s="19"/>
      <c r="AE580" s="19"/>
      <c r="AF580" s="18"/>
      <c r="AG580" s="19"/>
      <c r="AH580" s="19"/>
      <c r="AI580" s="19"/>
      <c r="AJ580" s="19"/>
      <c r="AK580" s="18"/>
      <c r="AL580" s="19"/>
      <c r="AM580" s="19"/>
      <c r="AN580" s="19"/>
      <c r="AO580" s="19"/>
      <c r="AP580" s="18"/>
      <c r="AQ580" s="19"/>
      <c r="AR580" s="19"/>
      <c r="AS580" s="19"/>
      <c r="AT580" s="19"/>
      <c r="AU580" s="18"/>
      <c r="AV580" s="19"/>
      <c r="AW580" s="19"/>
      <c r="AX580" s="19"/>
      <c r="AY580" s="19"/>
      <c r="AZ580" s="18"/>
      <c r="BA580" s="19"/>
      <c r="BB580" s="19"/>
      <c r="BC580" s="19"/>
      <c r="BD580" s="19"/>
      <c r="BE580" s="18"/>
      <c r="BF580" s="19"/>
      <c r="BG580" s="19"/>
      <c r="BH580" s="19"/>
      <c r="BI580" s="19"/>
      <c r="BJ580" s="18"/>
      <c r="BK580" s="19"/>
      <c r="BL580" s="19"/>
      <c r="BM580" s="19"/>
      <c r="BN580" s="19"/>
      <c r="BO580" s="18"/>
      <c r="BP580" s="19"/>
      <c r="BQ580" s="19"/>
      <c r="BR580" s="19"/>
      <c r="BS580" s="19"/>
      <c r="BT580" s="18"/>
      <c r="BU580" s="19"/>
      <c r="BV580" s="19"/>
      <c r="BW580" s="19"/>
      <c r="BX580" s="19"/>
      <c r="BY580" s="18"/>
      <c r="BZ580" s="19"/>
      <c r="CA580" s="19"/>
      <c r="CB580" s="19"/>
      <c r="CC580" s="19"/>
      <c r="CD580" s="18"/>
      <c r="CE580" s="19"/>
      <c r="CF580" s="19"/>
      <c r="CG580" s="19"/>
      <c r="CH580" s="19"/>
      <c r="CI580" s="18"/>
      <c r="CJ580" s="19"/>
      <c r="CK580" s="19"/>
      <c r="CL580" s="19"/>
      <c r="CM580" s="19"/>
      <c r="CN580" s="687"/>
      <c r="CO580" s="687"/>
      <c r="CP580" s="687"/>
      <c r="CQ580" s="687"/>
      <c r="CR580" s="687"/>
      <c r="CS580" s="687"/>
      <c r="CT580" s="14"/>
    </row>
    <row r="581" spans="1:98" s="4" customFormat="1" x14ac:dyDescent="0.3">
      <c r="A581" s="14"/>
      <c r="B581" s="292"/>
      <c r="C581" s="292"/>
      <c r="D581" s="14"/>
      <c r="E581" s="14"/>
      <c r="F581" s="703"/>
      <c r="G581" s="14"/>
      <c r="H581" s="14"/>
      <c r="I581" s="14"/>
      <c r="J581" s="14"/>
      <c r="K581" s="14"/>
      <c r="L581" s="14"/>
      <c r="M581" s="14"/>
      <c r="N581" s="703"/>
      <c r="O581" s="111"/>
      <c r="P581" s="703"/>
      <c r="Q581" s="14"/>
      <c r="R581" s="14"/>
      <c r="S581" s="14"/>
      <c r="T581" s="14"/>
      <c r="U581" s="14"/>
      <c r="V581" s="14"/>
      <c r="W581" s="14"/>
      <c r="X581" s="14"/>
      <c r="Y581" s="14"/>
      <c r="Z581" s="14"/>
      <c r="AA581" s="18"/>
      <c r="AB581" s="19"/>
      <c r="AC581" s="19"/>
      <c r="AD581" s="19"/>
      <c r="AE581" s="19"/>
      <c r="AF581" s="18"/>
      <c r="AG581" s="19"/>
      <c r="AH581" s="19"/>
      <c r="AI581" s="19"/>
      <c r="AJ581" s="19"/>
      <c r="AK581" s="18"/>
      <c r="AL581" s="19"/>
      <c r="AM581" s="19"/>
      <c r="AN581" s="19"/>
      <c r="AO581" s="19"/>
      <c r="AP581" s="18"/>
      <c r="AQ581" s="19"/>
      <c r="AR581" s="19"/>
      <c r="AS581" s="19"/>
      <c r="AT581" s="19"/>
      <c r="AU581" s="18"/>
      <c r="AV581" s="19"/>
      <c r="AW581" s="19"/>
      <c r="AX581" s="19"/>
      <c r="AY581" s="19"/>
      <c r="AZ581" s="18"/>
      <c r="BA581" s="19"/>
      <c r="BB581" s="19"/>
      <c r="BC581" s="19"/>
      <c r="BD581" s="19"/>
      <c r="BE581" s="18"/>
      <c r="BF581" s="19"/>
      <c r="BG581" s="19"/>
      <c r="BH581" s="19"/>
      <c r="BI581" s="19"/>
      <c r="BJ581" s="18"/>
      <c r="BK581" s="19"/>
      <c r="BL581" s="19"/>
      <c r="BM581" s="19"/>
      <c r="BN581" s="19"/>
      <c r="BO581" s="18"/>
      <c r="BP581" s="19"/>
      <c r="BQ581" s="19"/>
      <c r="BR581" s="19"/>
      <c r="BS581" s="19"/>
      <c r="BT581" s="18"/>
      <c r="BU581" s="19"/>
      <c r="BV581" s="19"/>
      <c r="BW581" s="19"/>
      <c r="BX581" s="19"/>
      <c r="BY581" s="18"/>
      <c r="BZ581" s="19"/>
      <c r="CA581" s="19"/>
      <c r="CB581" s="19"/>
      <c r="CC581" s="19"/>
      <c r="CD581" s="18"/>
      <c r="CE581" s="19"/>
      <c r="CF581" s="19"/>
      <c r="CG581" s="19"/>
      <c r="CH581" s="19"/>
      <c r="CI581" s="18"/>
      <c r="CJ581" s="19"/>
      <c r="CK581" s="19"/>
      <c r="CL581" s="19"/>
      <c r="CM581" s="19"/>
      <c r="CN581" s="687"/>
      <c r="CO581" s="687"/>
      <c r="CP581" s="687"/>
      <c r="CQ581" s="687"/>
      <c r="CR581" s="687"/>
      <c r="CS581" s="687"/>
      <c r="CT581" s="14"/>
    </row>
    <row r="582" spans="1:98" s="4" customFormat="1" x14ac:dyDescent="0.3">
      <c r="A582" s="14"/>
      <c r="B582" s="292"/>
      <c r="C582" s="292"/>
      <c r="D582" s="14"/>
      <c r="E582" s="14"/>
      <c r="F582" s="703"/>
      <c r="G582" s="14"/>
      <c r="H582" s="14"/>
      <c r="I582" s="14"/>
      <c r="J582" s="14"/>
      <c r="K582" s="14"/>
      <c r="L582" s="14"/>
      <c r="M582" s="14"/>
      <c r="N582" s="703"/>
      <c r="O582" s="111"/>
      <c r="P582" s="703"/>
      <c r="Q582" s="14"/>
      <c r="R582" s="14"/>
      <c r="S582" s="14"/>
      <c r="T582" s="14"/>
      <c r="U582" s="14"/>
      <c r="V582" s="14"/>
      <c r="W582" s="14"/>
      <c r="X582" s="14"/>
      <c r="Y582" s="14"/>
      <c r="Z582" s="14"/>
      <c r="AA582" s="18"/>
      <c r="AB582" s="19"/>
      <c r="AC582" s="19"/>
      <c r="AD582" s="19"/>
      <c r="AE582" s="19"/>
      <c r="AF582" s="18"/>
      <c r="AG582" s="19"/>
      <c r="AH582" s="19"/>
      <c r="AI582" s="19"/>
      <c r="AJ582" s="19"/>
      <c r="AK582" s="18"/>
      <c r="AL582" s="19"/>
      <c r="AM582" s="19"/>
      <c r="AN582" s="19"/>
      <c r="AO582" s="19"/>
      <c r="AP582" s="18"/>
      <c r="AQ582" s="19"/>
      <c r="AR582" s="19"/>
      <c r="AS582" s="19"/>
      <c r="AT582" s="19"/>
      <c r="AU582" s="18"/>
      <c r="AV582" s="19"/>
      <c r="AW582" s="19"/>
      <c r="AX582" s="19"/>
      <c r="AY582" s="19"/>
      <c r="AZ582" s="18"/>
      <c r="BA582" s="19"/>
      <c r="BB582" s="19"/>
      <c r="BC582" s="19"/>
      <c r="BD582" s="19"/>
      <c r="BE582" s="18"/>
      <c r="BF582" s="19"/>
      <c r="BG582" s="19"/>
      <c r="BH582" s="19"/>
      <c r="BI582" s="19"/>
      <c r="BJ582" s="18"/>
      <c r="BK582" s="19"/>
      <c r="BL582" s="19"/>
      <c r="BM582" s="19"/>
      <c r="BN582" s="19"/>
      <c r="BO582" s="18"/>
      <c r="BP582" s="19"/>
      <c r="BQ582" s="19"/>
      <c r="BR582" s="19"/>
      <c r="BS582" s="19"/>
      <c r="BT582" s="18"/>
      <c r="BU582" s="19"/>
      <c r="BV582" s="19"/>
      <c r="BW582" s="19"/>
      <c r="BX582" s="19"/>
      <c r="BY582" s="18"/>
      <c r="BZ582" s="19"/>
      <c r="CA582" s="19"/>
      <c r="CB582" s="19"/>
      <c r="CC582" s="19"/>
      <c r="CD582" s="18"/>
      <c r="CE582" s="19"/>
      <c r="CF582" s="19"/>
      <c r="CG582" s="19"/>
      <c r="CH582" s="19"/>
      <c r="CI582" s="18"/>
      <c r="CJ582" s="19"/>
      <c r="CK582" s="19"/>
      <c r="CL582" s="19"/>
      <c r="CM582" s="19"/>
      <c r="CN582" s="687"/>
      <c r="CO582" s="687"/>
      <c r="CP582" s="687"/>
      <c r="CQ582" s="687"/>
      <c r="CR582" s="687"/>
      <c r="CS582" s="687"/>
      <c r="CT582" s="14"/>
    </row>
    <row r="583" spans="1:98" s="4" customFormat="1" x14ac:dyDescent="0.3">
      <c r="A583" s="14"/>
      <c r="B583" s="292"/>
      <c r="C583" s="292"/>
      <c r="D583" s="14"/>
      <c r="E583" s="14"/>
      <c r="F583" s="703"/>
      <c r="G583" s="14"/>
      <c r="H583" s="14"/>
      <c r="I583" s="14"/>
      <c r="J583" s="14"/>
      <c r="K583" s="14"/>
      <c r="L583" s="14"/>
      <c r="M583" s="14"/>
      <c r="N583" s="703"/>
      <c r="O583" s="111"/>
      <c r="P583" s="703"/>
      <c r="Q583" s="14"/>
      <c r="R583" s="14"/>
      <c r="S583" s="14"/>
      <c r="T583" s="14"/>
      <c r="U583" s="14"/>
      <c r="V583" s="14"/>
      <c r="W583" s="14"/>
      <c r="X583" s="14"/>
      <c r="Y583" s="14"/>
      <c r="Z583" s="14"/>
      <c r="AA583" s="18"/>
      <c r="AB583" s="19"/>
      <c r="AC583" s="19"/>
      <c r="AD583" s="19"/>
      <c r="AE583" s="19"/>
      <c r="AF583" s="18"/>
      <c r="AG583" s="19"/>
      <c r="AH583" s="19"/>
      <c r="AI583" s="19"/>
      <c r="AJ583" s="19"/>
      <c r="AK583" s="18"/>
      <c r="AL583" s="19"/>
      <c r="AM583" s="19"/>
      <c r="AN583" s="19"/>
      <c r="AO583" s="19"/>
      <c r="AP583" s="18"/>
      <c r="AQ583" s="19"/>
      <c r="AR583" s="19"/>
      <c r="AS583" s="19"/>
      <c r="AT583" s="19"/>
      <c r="AU583" s="18"/>
      <c r="AV583" s="19"/>
      <c r="AW583" s="19"/>
      <c r="AX583" s="19"/>
      <c r="AY583" s="19"/>
      <c r="AZ583" s="18"/>
      <c r="BA583" s="19"/>
      <c r="BB583" s="19"/>
      <c r="BC583" s="19"/>
      <c r="BD583" s="19"/>
      <c r="BE583" s="18"/>
      <c r="BF583" s="19"/>
      <c r="BG583" s="19"/>
      <c r="BH583" s="19"/>
      <c r="BI583" s="19"/>
      <c r="BJ583" s="18"/>
      <c r="BK583" s="19"/>
      <c r="BL583" s="19"/>
      <c r="BM583" s="19"/>
      <c r="BN583" s="19"/>
      <c r="BO583" s="18"/>
      <c r="BP583" s="19"/>
      <c r="BQ583" s="19"/>
      <c r="BR583" s="19"/>
      <c r="BS583" s="19"/>
      <c r="BT583" s="18"/>
      <c r="BU583" s="19"/>
      <c r="BV583" s="19"/>
      <c r="BW583" s="19"/>
      <c r="BX583" s="19"/>
      <c r="BY583" s="18"/>
      <c r="BZ583" s="19"/>
      <c r="CA583" s="19"/>
      <c r="CB583" s="19"/>
      <c r="CC583" s="19"/>
      <c r="CD583" s="18"/>
      <c r="CE583" s="19"/>
      <c r="CF583" s="19"/>
      <c r="CG583" s="19"/>
      <c r="CH583" s="19"/>
      <c r="CI583" s="18"/>
      <c r="CJ583" s="19"/>
      <c r="CK583" s="19"/>
      <c r="CL583" s="19"/>
      <c r="CM583" s="19"/>
      <c r="CN583" s="687"/>
      <c r="CO583" s="687"/>
      <c r="CP583" s="687"/>
      <c r="CQ583" s="687"/>
      <c r="CR583" s="687"/>
      <c r="CS583" s="687"/>
      <c r="CT583" s="14"/>
    </row>
    <row r="584" spans="1:98" s="4" customFormat="1" x14ac:dyDescent="0.3">
      <c r="A584" s="14"/>
      <c r="B584" s="292"/>
      <c r="C584" s="292"/>
      <c r="D584" s="14"/>
      <c r="E584" s="14"/>
      <c r="F584" s="703"/>
      <c r="G584" s="14"/>
      <c r="H584" s="14"/>
      <c r="I584" s="14"/>
      <c r="J584" s="14"/>
      <c r="K584" s="14"/>
      <c r="L584" s="14"/>
      <c r="M584" s="14"/>
      <c r="N584" s="703"/>
      <c r="O584" s="111"/>
      <c r="P584" s="703"/>
      <c r="Q584" s="14"/>
      <c r="R584" s="14"/>
      <c r="S584" s="14"/>
      <c r="T584" s="14"/>
      <c r="U584" s="14"/>
      <c r="V584" s="14"/>
      <c r="W584" s="14"/>
      <c r="X584" s="14"/>
      <c r="Y584" s="14"/>
      <c r="Z584" s="14"/>
      <c r="AA584" s="18"/>
      <c r="AB584" s="19"/>
      <c r="AC584" s="19"/>
      <c r="AD584" s="19"/>
      <c r="AE584" s="19"/>
      <c r="AF584" s="18"/>
      <c r="AG584" s="19"/>
      <c r="AH584" s="19"/>
      <c r="AI584" s="19"/>
      <c r="AJ584" s="19"/>
      <c r="AK584" s="18"/>
      <c r="AL584" s="19"/>
      <c r="AM584" s="19"/>
      <c r="AN584" s="19"/>
      <c r="AO584" s="19"/>
      <c r="AP584" s="18"/>
      <c r="AQ584" s="19"/>
      <c r="AR584" s="19"/>
      <c r="AS584" s="19"/>
      <c r="AT584" s="19"/>
      <c r="AU584" s="18"/>
      <c r="AV584" s="19"/>
      <c r="AW584" s="19"/>
      <c r="AX584" s="19"/>
      <c r="AY584" s="19"/>
      <c r="AZ584" s="18"/>
      <c r="BA584" s="19"/>
      <c r="BB584" s="19"/>
      <c r="BC584" s="19"/>
      <c r="BD584" s="19"/>
      <c r="BE584" s="18"/>
      <c r="BF584" s="19"/>
      <c r="BG584" s="19"/>
      <c r="BH584" s="19"/>
      <c r="BI584" s="19"/>
      <c r="BJ584" s="18"/>
      <c r="BK584" s="19"/>
      <c r="BL584" s="19"/>
      <c r="BM584" s="19"/>
      <c r="BN584" s="19"/>
      <c r="BO584" s="18"/>
      <c r="BP584" s="19"/>
      <c r="BQ584" s="19"/>
      <c r="BR584" s="19"/>
      <c r="BS584" s="19"/>
      <c r="BT584" s="18"/>
      <c r="BU584" s="19"/>
      <c r="BV584" s="19"/>
      <c r="BW584" s="19"/>
      <c r="BX584" s="19"/>
      <c r="BY584" s="18"/>
      <c r="BZ584" s="19"/>
      <c r="CA584" s="19"/>
      <c r="CB584" s="19"/>
      <c r="CC584" s="19"/>
      <c r="CD584" s="18"/>
      <c r="CE584" s="19"/>
      <c r="CF584" s="19"/>
      <c r="CG584" s="19"/>
      <c r="CH584" s="19"/>
      <c r="CI584" s="18"/>
      <c r="CJ584" s="19"/>
      <c r="CK584" s="19"/>
      <c r="CL584" s="19"/>
      <c r="CM584" s="19"/>
      <c r="CN584" s="687"/>
      <c r="CO584" s="687"/>
      <c r="CP584" s="687"/>
      <c r="CQ584" s="687"/>
      <c r="CR584" s="687"/>
      <c r="CS584" s="687"/>
      <c r="CT584" s="14"/>
    </row>
    <row r="585" spans="1:98" s="4" customFormat="1" x14ac:dyDescent="0.3">
      <c r="A585" s="14"/>
      <c r="B585" s="292"/>
      <c r="C585" s="292"/>
      <c r="D585" s="14"/>
      <c r="E585" s="14"/>
      <c r="F585" s="703"/>
      <c r="G585" s="14"/>
      <c r="H585" s="14"/>
      <c r="I585" s="14"/>
      <c r="J585" s="14"/>
      <c r="K585" s="14"/>
      <c r="L585" s="14"/>
      <c r="M585" s="14"/>
      <c r="N585" s="703"/>
      <c r="O585" s="111"/>
      <c r="P585" s="703"/>
      <c r="Q585" s="14"/>
      <c r="R585" s="14"/>
      <c r="S585" s="14"/>
      <c r="T585" s="14"/>
      <c r="U585" s="14"/>
      <c r="V585" s="14"/>
      <c r="W585" s="14"/>
      <c r="X585" s="14"/>
      <c r="Y585" s="14"/>
      <c r="Z585" s="14"/>
      <c r="AA585" s="18"/>
      <c r="AB585" s="19"/>
      <c r="AC585" s="19"/>
      <c r="AD585" s="19"/>
      <c r="AE585" s="19"/>
      <c r="AF585" s="18"/>
      <c r="AG585" s="19"/>
      <c r="AH585" s="19"/>
      <c r="AI585" s="19"/>
      <c r="AJ585" s="19"/>
      <c r="AK585" s="18"/>
      <c r="AL585" s="19"/>
      <c r="AM585" s="19"/>
      <c r="AN585" s="19"/>
      <c r="AO585" s="19"/>
      <c r="AP585" s="18"/>
      <c r="AQ585" s="19"/>
      <c r="AR585" s="19"/>
      <c r="AS585" s="19"/>
      <c r="AT585" s="19"/>
      <c r="AU585" s="18"/>
      <c r="AV585" s="19"/>
      <c r="AW585" s="19"/>
      <c r="AX585" s="19"/>
      <c r="AY585" s="19"/>
      <c r="AZ585" s="18"/>
      <c r="BA585" s="19"/>
      <c r="BB585" s="19"/>
      <c r="BC585" s="19"/>
      <c r="BD585" s="19"/>
      <c r="BE585" s="18"/>
      <c r="BF585" s="19"/>
      <c r="BG585" s="19"/>
      <c r="BH585" s="19"/>
      <c r="BI585" s="19"/>
      <c r="BJ585" s="18"/>
      <c r="BK585" s="19"/>
      <c r="BL585" s="19"/>
      <c r="BM585" s="19"/>
      <c r="BN585" s="19"/>
      <c r="BO585" s="18"/>
      <c r="BP585" s="19"/>
      <c r="BQ585" s="19"/>
      <c r="BR585" s="19"/>
      <c r="BS585" s="19"/>
      <c r="BT585" s="18"/>
      <c r="BU585" s="19"/>
      <c r="BV585" s="19"/>
      <c r="BW585" s="19"/>
      <c r="BX585" s="19"/>
      <c r="BY585" s="18"/>
      <c r="BZ585" s="19"/>
      <c r="CA585" s="19"/>
      <c r="CB585" s="19"/>
      <c r="CC585" s="19"/>
      <c r="CD585" s="18"/>
      <c r="CE585" s="19"/>
      <c r="CF585" s="19"/>
      <c r="CG585" s="19"/>
      <c r="CH585" s="19"/>
      <c r="CI585" s="18"/>
      <c r="CJ585" s="19"/>
      <c r="CK585" s="19"/>
      <c r="CL585" s="19"/>
      <c r="CM585" s="19"/>
      <c r="CN585" s="687"/>
      <c r="CO585" s="687"/>
      <c r="CP585" s="687"/>
      <c r="CQ585" s="687"/>
      <c r="CR585" s="687"/>
      <c r="CS585" s="687"/>
      <c r="CT585" s="14"/>
    </row>
    <row r="586" spans="1:98" s="4" customFormat="1" x14ac:dyDescent="0.3">
      <c r="A586" s="14"/>
      <c r="B586" s="292"/>
      <c r="C586" s="292"/>
      <c r="D586" s="14"/>
      <c r="E586" s="14"/>
      <c r="F586" s="703"/>
      <c r="G586" s="14"/>
      <c r="H586" s="14"/>
      <c r="I586" s="14"/>
      <c r="J586" s="14"/>
      <c r="K586" s="14"/>
      <c r="L586" s="14"/>
      <c r="M586" s="14"/>
      <c r="N586" s="703"/>
      <c r="O586" s="111"/>
      <c r="P586" s="703"/>
      <c r="Q586" s="14"/>
      <c r="R586" s="14"/>
      <c r="S586" s="14"/>
      <c r="T586" s="14"/>
      <c r="U586" s="14"/>
      <c r="V586" s="14"/>
      <c r="W586" s="14"/>
      <c r="X586" s="14"/>
      <c r="Y586" s="14"/>
      <c r="Z586" s="14"/>
      <c r="AA586" s="18"/>
      <c r="AB586" s="19"/>
      <c r="AC586" s="19"/>
      <c r="AD586" s="19"/>
      <c r="AE586" s="19"/>
      <c r="AF586" s="18"/>
      <c r="AG586" s="19"/>
      <c r="AH586" s="19"/>
      <c r="AI586" s="19"/>
      <c r="AJ586" s="19"/>
      <c r="AK586" s="18"/>
      <c r="AL586" s="19"/>
      <c r="AM586" s="19"/>
      <c r="AN586" s="19"/>
      <c r="AO586" s="19"/>
      <c r="AP586" s="18"/>
      <c r="AQ586" s="19"/>
      <c r="AR586" s="19"/>
      <c r="AS586" s="19"/>
      <c r="AT586" s="19"/>
      <c r="AU586" s="18"/>
      <c r="AV586" s="19"/>
      <c r="AW586" s="19"/>
      <c r="AX586" s="19"/>
      <c r="AY586" s="19"/>
      <c r="AZ586" s="18"/>
      <c r="BA586" s="19"/>
      <c r="BB586" s="19"/>
      <c r="BC586" s="19"/>
      <c r="BD586" s="19"/>
      <c r="BE586" s="18"/>
      <c r="BF586" s="19"/>
      <c r="BG586" s="19"/>
      <c r="BH586" s="19"/>
      <c r="BI586" s="19"/>
      <c r="BJ586" s="18"/>
      <c r="BK586" s="19"/>
      <c r="BL586" s="19"/>
      <c r="BM586" s="19"/>
      <c r="BN586" s="19"/>
      <c r="BO586" s="18"/>
      <c r="BP586" s="19"/>
      <c r="BQ586" s="19"/>
      <c r="BR586" s="19"/>
      <c r="BS586" s="19"/>
      <c r="BT586" s="18"/>
      <c r="BU586" s="19"/>
      <c r="BV586" s="19"/>
      <c r="BW586" s="19"/>
      <c r="BX586" s="19"/>
      <c r="BY586" s="18"/>
      <c r="BZ586" s="19"/>
      <c r="CA586" s="19"/>
      <c r="CB586" s="19"/>
      <c r="CC586" s="19"/>
      <c r="CD586" s="18"/>
      <c r="CE586" s="19"/>
      <c r="CF586" s="19"/>
      <c r="CG586" s="19"/>
      <c r="CH586" s="19"/>
      <c r="CI586" s="18"/>
      <c r="CJ586" s="19"/>
      <c r="CK586" s="19"/>
      <c r="CL586" s="19"/>
      <c r="CM586" s="19"/>
      <c r="CN586" s="687"/>
      <c r="CO586" s="687"/>
      <c r="CP586" s="687"/>
      <c r="CQ586" s="687"/>
      <c r="CR586" s="687"/>
      <c r="CS586" s="687"/>
      <c r="CT586" s="14"/>
    </row>
    <row r="587" spans="1:98" s="4" customFormat="1" x14ac:dyDescent="0.3">
      <c r="A587" s="14"/>
      <c r="B587" s="292"/>
      <c r="C587" s="292"/>
      <c r="D587" s="14"/>
      <c r="E587" s="14"/>
      <c r="F587" s="703"/>
      <c r="G587" s="14"/>
      <c r="H587" s="14"/>
      <c r="I587" s="14"/>
      <c r="J587" s="14"/>
      <c r="K587" s="14"/>
      <c r="L587" s="14"/>
      <c r="M587" s="14"/>
      <c r="N587" s="703"/>
      <c r="O587" s="111"/>
      <c r="P587" s="703"/>
      <c r="Q587" s="14"/>
      <c r="R587" s="14"/>
      <c r="S587" s="14"/>
      <c r="T587" s="14"/>
      <c r="U587" s="14"/>
      <c r="V587" s="14"/>
      <c r="W587" s="14"/>
      <c r="X587" s="14"/>
      <c r="Y587" s="14"/>
      <c r="Z587" s="14"/>
      <c r="AA587" s="18"/>
      <c r="AB587" s="19"/>
      <c r="AC587" s="19"/>
      <c r="AD587" s="19"/>
      <c r="AE587" s="19"/>
      <c r="AF587" s="18"/>
      <c r="AG587" s="19"/>
      <c r="AH587" s="19"/>
      <c r="AI587" s="19"/>
      <c r="AJ587" s="19"/>
      <c r="AK587" s="18"/>
      <c r="AL587" s="19"/>
      <c r="AM587" s="19"/>
      <c r="AN587" s="19"/>
      <c r="AO587" s="19"/>
      <c r="AP587" s="18"/>
      <c r="AQ587" s="19"/>
      <c r="AR587" s="19"/>
      <c r="AS587" s="19"/>
      <c r="AT587" s="19"/>
      <c r="AU587" s="18"/>
      <c r="AV587" s="19"/>
      <c r="AW587" s="19"/>
      <c r="AX587" s="19"/>
      <c r="AY587" s="19"/>
      <c r="AZ587" s="18"/>
      <c r="BA587" s="19"/>
      <c r="BB587" s="19"/>
      <c r="BC587" s="19"/>
      <c r="BD587" s="19"/>
      <c r="BE587" s="18"/>
      <c r="BF587" s="19"/>
      <c r="BG587" s="19"/>
      <c r="BH587" s="19"/>
      <c r="BI587" s="19"/>
      <c r="BJ587" s="18"/>
      <c r="BK587" s="19"/>
      <c r="BL587" s="19"/>
      <c r="BM587" s="19"/>
      <c r="BN587" s="19"/>
      <c r="BO587" s="18"/>
      <c r="BP587" s="19"/>
      <c r="BQ587" s="19"/>
      <c r="BR587" s="19"/>
      <c r="BS587" s="19"/>
      <c r="BT587" s="18"/>
      <c r="BU587" s="19"/>
      <c r="BV587" s="19"/>
      <c r="BW587" s="19"/>
      <c r="BX587" s="19"/>
      <c r="BY587" s="18"/>
      <c r="BZ587" s="19"/>
      <c r="CA587" s="19"/>
      <c r="CB587" s="19"/>
      <c r="CC587" s="19"/>
      <c r="CD587" s="18"/>
      <c r="CE587" s="19"/>
      <c r="CF587" s="19"/>
      <c r="CG587" s="19"/>
      <c r="CH587" s="19"/>
      <c r="CI587" s="18"/>
      <c r="CJ587" s="19"/>
      <c r="CK587" s="19"/>
      <c r="CL587" s="19"/>
      <c r="CM587" s="19"/>
      <c r="CN587" s="687"/>
      <c r="CO587" s="687"/>
      <c r="CP587" s="687"/>
      <c r="CQ587" s="687"/>
      <c r="CR587" s="687"/>
      <c r="CS587" s="687"/>
      <c r="CT587" s="14"/>
    </row>
    <row r="588" spans="1:98" s="4" customFormat="1" x14ac:dyDescent="0.3">
      <c r="A588" s="14"/>
      <c r="B588" s="292"/>
      <c r="C588" s="292"/>
      <c r="D588" s="14"/>
      <c r="E588" s="14"/>
      <c r="F588" s="703"/>
      <c r="G588" s="14"/>
      <c r="H588" s="14"/>
      <c r="I588" s="14"/>
      <c r="J588" s="14"/>
      <c r="K588" s="14"/>
      <c r="L588" s="14"/>
      <c r="M588" s="14"/>
      <c r="N588" s="703"/>
      <c r="O588" s="111"/>
      <c r="P588" s="703"/>
      <c r="Q588" s="14"/>
      <c r="R588" s="14"/>
      <c r="S588" s="14"/>
      <c r="T588" s="14"/>
      <c r="U588" s="14"/>
      <c r="V588" s="14"/>
      <c r="W588" s="14"/>
      <c r="X588" s="14"/>
      <c r="Y588" s="14"/>
      <c r="Z588" s="14"/>
      <c r="AA588" s="18"/>
      <c r="AB588" s="19"/>
      <c r="AC588" s="19"/>
      <c r="AD588" s="19"/>
      <c r="AE588" s="19"/>
      <c r="AF588" s="18"/>
      <c r="AG588" s="19"/>
      <c r="AH588" s="19"/>
      <c r="AI588" s="19"/>
      <c r="AJ588" s="19"/>
      <c r="AK588" s="18"/>
      <c r="AL588" s="19"/>
      <c r="AM588" s="19"/>
      <c r="AN588" s="19"/>
      <c r="AO588" s="19"/>
      <c r="AP588" s="18"/>
      <c r="AQ588" s="19"/>
      <c r="AR588" s="19"/>
      <c r="AS588" s="19"/>
      <c r="AT588" s="19"/>
      <c r="AU588" s="18"/>
      <c r="AV588" s="19"/>
      <c r="AW588" s="19"/>
      <c r="AX588" s="19"/>
      <c r="AY588" s="19"/>
      <c r="AZ588" s="18"/>
      <c r="BA588" s="19"/>
      <c r="BB588" s="19"/>
      <c r="BC588" s="19"/>
      <c r="BD588" s="19"/>
      <c r="BE588" s="18"/>
      <c r="BF588" s="19"/>
      <c r="BG588" s="19"/>
      <c r="BH588" s="19"/>
      <c r="BI588" s="19"/>
      <c r="BJ588" s="18"/>
      <c r="BK588" s="19"/>
      <c r="BL588" s="19"/>
      <c r="BM588" s="19"/>
      <c r="BN588" s="19"/>
      <c r="BO588" s="18"/>
      <c r="BP588" s="19"/>
      <c r="BQ588" s="19"/>
      <c r="BR588" s="19"/>
      <c r="BS588" s="19"/>
      <c r="BT588" s="18"/>
      <c r="BU588" s="19"/>
      <c r="BV588" s="19"/>
      <c r="BW588" s="19"/>
      <c r="BX588" s="19"/>
      <c r="BY588" s="18"/>
      <c r="BZ588" s="19"/>
      <c r="CA588" s="19"/>
      <c r="CB588" s="19"/>
      <c r="CC588" s="19"/>
      <c r="CD588" s="18"/>
      <c r="CE588" s="19"/>
      <c r="CF588" s="19"/>
      <c r="CG588" s="19"/>
      <c r="CH588" s="19"/>
      <c r="CI588" s="18"/>
      <c r="CJ588" s="19"/>
      <c r="CK588" s="19"/>
      <c r="CL588" s="19"/>
      <c r="CM588" s="19"/>
      <c r="CN588" s="687"/>
      <c r="CO588" s="687"/>
      <c r="CP588" s="687"/>
      <c r="CQ588" s="687"/>
      <c r="CR588" s="687"/>
      <c r="CS588" s="687"/>
      <c r="CT588" s="14"/>
    </row>
    <row r="589" spans="1:98" s="4" customFormat="1" x14ac:dyDescent="0.3">
      <c r="A589" s="14"/>
      <c r="B589" s="292"/>
      <c r="C589" s="292"/>
      <c r="D589" s="14"/>
      <c r="E589" s="14"/>
      <c r="F589" s="703"/>
      <c r="G589" s="14"/>
      <c r="H589" s="14"/>
      <c r="I589" s="14"/>
      <c r="J589" s="14"/>
      <c r="K589" s="14"/>
      <c r="L589" s="14"/>
      <c r="M589" s="14"/>
      <c r="N589" s="703"/>
      <c r="O589" s="111"/>
      <c r="P589" s="703"/>
      <c r="Q589" s="14"/>
      <c r="R589" s="14"/>
      <c r="S589" s="14"/>
      <c r="T589" s="14"/>
      <c r="U589" s="14"/>
      <c r="V589" s="14"/>
      <c r="W589" s="14"/>
      <c r="X589" s="14"/>
      <c r="Y589" s="14"/>
      <c r="Z589" s="14"/>
      <c r="AA589" s="18"/>
      <c r="AB589" s="19"/>
      <c r="AC589" s="19"/>
      <c r="AD589" s="19"/>
      <c r="AE589" s="19"/>
      <c r="AF589" s="18"/>
      <c r="AG589" s="19"/>
      <c r="AH589" s="19"/>
      <c r="AI589" s="19"/>
      <c r="AJ589" s="19"/>
      <c r="AK589" s="18"/>
      <c r="AL589" s="19"/>
      <c r="AM589" s="19"/>
      <c r="AN589" s="19"/>
      <c r="AO589" s="19"/>
      <c r="AP589" s="18"/>
      <c r="AQ589" s="19"/>
      <c r="AR589" s="19"/>
      <c r="AS589" s="19"/>
      <c r="AT589" s="19"/>
      <c r="AU589" s="18"/>
      <c r="AV589" s="19"/>
      <c r="AW589" s="19"/>
      <c r="AX589" s="19"/>
      <c r="AY589" s="19"/>
      <c r="AZ589" s="18"/>
      <c r="BA589" s="19"/>
      <c r="BB589" s="19"/>
      <c r="BC589" s="19"/>
      <c r="BD589" s="19"/>
      <c r="BE589" s="18"/>
      <c r="BF589" s="19"/>
      <c r="BG589" s="19"/>
      <c r="BH589" s="19"/>
      <c r="BI589" s="19"/>
      <c r="BJ589" s="18"/>
      <c r="BK589" s="19"/>
      <c r="BL589" s="19"/>
      <c r="BM589" s="19"/>
      <c r="BN589" s="19"/>
      <c r="BO589" s="18"/>
      <c r="BP589" s="19"/>
      <c r="BQ589" s="19"/>
      <c r="BR589" s="19"/>
      <c r="BS589" s="19"/>
      <c r="BT589" s="18"/>
      <c r="BU589" s="19"/>
      <c r="BV589" s="19"/>
      <c r="BW589" s="19"/>
      <c r="BX589" s="19"/>
      <c r="BY589" s="18"/>
      <c r="BZ589" s="19"/>
      <c r="CA589" s="19"/>
      <c r="CB589" s="19"/>
      <c r="CC589" s="19"/>
      <c r="CD589" s="18"/>
      <c r="CE589" s="19"/>
      <c r="CF589" s="19"/>
      <c r="CG589" s="19"/>
      <c r="CH589" s="19"/>
      <c r="CI589" s="18"/>
      <c r="CJ589" s="19"/>
      <c r="CK589" s="19"/>
      <c r="CL589" s="19"/>
      <c r="CM589" s="19"/>
      <c r="CN589" s="687"/>
      <c r="CO589" s="687"/>
      <c r="CP589" s="687"/>
      <c r="CQ589" s="687"/>
      <c r="CR589" s="687"/>
      <c r="CS589" s="687"/>
      <c r="CT589" s="14"/>
    </row>
    <row r="590" spans="1:98" s="4" customFormat="1" x14ac:dyDescent="0.3">
      <c r="A590" s="14"/>
      <c r="B590" s="292"/>
      <c r="C590" s="292"/>
      <c r="D590" s="14"/>
      <c r="E590" s="14"/>
      <c r="F590" s="703"/>
      <c r="G590" s="14"/>
      <c r="H590" s="14"/>
      <c r="I590" s="14"/>
      <c r="J590" s="14"/>
      <c r="K590" s="14"/>
      <c r="L590" s="14"/>
      <c r="M590" s="14"/>
      <c r="N590" s="703"/>
      <c r="O590" s="111"/>
      <c r="P590" s="703"/>
      <c r="Q590" s="14"/>
      <c r="R590" s="14"/>
      <c r="S590" s="14"/>
      <c r="T590" s="14"/>
      <c r="U590" s="14"/>
      <c r="V590" s="14"/>
      <c r="W590" s="14"/>
      <c r="X590" s="14"/>
      <c r="Y590" s="14"/>
      <c r="Z590" s="14"/>
      <c r="AA590" s="18"/>
      <c r="AB590" s="19"/>
      <c r="AC590" s="19"/>
      <c r="AD590" s="19"/>
      <c r="AE590" s="19"/>
      <c r="AF590" s="18"/>
      <c r="AG590" s="19"/>
      <c r="AH590" s="19"/>
      <c r="AI590" s="19"/>
      <c r="AJ590" s="19"/>
      <c r="AK590" s="18"/>
      <c r="AL590" s="19"/>
      <c r="AM590" s="19"/>
      <c r="AN590" s="19"/>
      <c r="AO590" s="19"/>
      <c r="AP590" s="18"/>
      <c r="AQ590" s="19"/>
      <c r="AR590" s="19"/>
      <c r="AS590" s="19"/>
      <c r="AT590" s="19"/>
      <c r="AU590" s="18"/>
      <c r="AV590" s="19"/>
      <c r="AW590" s="19"/>
      <c r="AX590" s="19"/>
      <c r="AY590" s="19"/>
      <c r="AZ590" s="18"/>
      <c r="BA590" s="19"/>
      <c r="BB590" s="19"/>
      <c r="BC590" s="19"/>
      <c r="BD590" s="19"/>
      <c r="BE590" s="18"/>
      <c r="BF590" s="19"/>
      <c r="BG590" s="19"/>
      <c r="BH590" s="19"/>
      <c r="BI590" s="19"/>
      <c r="BJ590" s="18"/>
      <c r="BK590" s="19"/>
      <c r="BL590" s="19"/>
      <c r="BM590" s="19"/>
      <c r="BN590" s="19"/>
      <c r="BO590" s="18"/>
      <c r="BP590" s="19"/>
      <c r="BQ590" s="19"/>
      <c r="BR590" s="19"/>
      <c r="BS590" s="19"/>
      <c r="BT590" s="18"/>
      <c r="BU590" s="19"/>
      <c r="BV590" s="19"/>
      <c r="BW590" s="19"/>
      <c r="BX590" s="19"/>
      <c r="BY590" s="18"/>
      <c r="BZ590" s="19"/>
      <c r="CA590" s="19"/>
      <c r="CB590" s="19"/>
      <c r="CC590" s="19"/>
      <c r="CD590" s="18"/>
      <c r="CE590" s="19"/>
      <c r="CF590" s="19"/>
      <c r="CG590" s="19"/>
      <c r="CH590" s="19"/>
      <c r="CI590" s="18"/>
      <c r="CJ590" s="19"/>
      <c r="CK590" s="19"/>
      <c r="CL590" s="19"/>
      <c r="CM590" s="19"/>
      <c r="CN590" s="687"/>
      <c r="CO590" s="687"/>
      <c r="CP590" s="687"/>
      <c r="CQ590" s="687"/>
      <c r="CR590" s="687"/>
      <c r="CS590" s="687"/>
      <c r="CT590" s="14"/>
    </row>
    <row r="591" spans="1:98" s="4" customFormat="1" x14ac:dyDescent="0.3">
      <c r="A591" s="14"/>
      <c r="B591" s="292"/>
      <c r="C591" s="292"/>
      <c r="D591" s="14"/>
      <c r="E591" s="14"/>
      <c r="F591" s="703"/>
      <c r="G591" s="14"/>
      <c r="H591" s="14"/>
      <c r="I591" s="14"/>
      <c r="J591" s="14"/>
      <c r="K591" s="14"/>
      <c r="L591" s="14"/>
      <c r="M591" s="14"/>
      <c r="N591" s="703"/>
      <c r="O591" s="111"/>
      <c r="P591" s="703"/>
      <c r="Q591" s="14"/>
      <c r="R591" s="14"/>
      <c r="S591" s="14"/>
      <c r="T591" s="14"/>
      <c r="U591" s="14"/>
      <c r="V591" s="14"/>
      <c r="W591" s="14"/>
      <c r="X591" s="14"/>
      <c r="Y591" s="14"/>
      <c r="Z591" s="14"/>
      <c r="AA591" s="18"/>
      <c r="AB591" s="19"/>
      <c r="AC591" s="19"/>
      <c r="AD591" s="19"/>
      <c r="AE591" s="19"/>
      <c r="AF591" s="18"/>
      <c r="AG591" s="19"/>
      <c r="AH591" s="19"/>
      <c r="AI591" s="19"/>
      <c r="AJ591" s="19"/>
      <c r="AK591" s="18"/>
      <c r="AL591" s="19"/>
      <c r="AM591" s="19"/>
      <c r="AN591" s="19"/>
      <c r="AO591" s="19"/>
      <c r="AP591" s="18"/>
      <c r="AQ591" s="19"/>
      <c r="AR591" s="19"/>
      <c r="AS591" s="19"/>
      <c r="AT591" s="19"/>
      <c r="AU591" s="18"/>
      <c r="AV591" s="19"/>
      <c r="AW591" s="19"/>
      <c r="AX591" s="19"/>
      <c r="AY591" s="19"/>
      <c r="AZ591" s="18"/>
      <c r="BA591" s="19"/>
      <c r="BB591" s="19"/>
      <c r="BC591" s="19"/>
      <c r="BD591" s="19"/>
      <c r="BE591" s="18"/>
      <c r="BF591" s="19"/>
      <c r="BG591" s="19"/>
      <c r="BH591" s="19"/>
      <c r="BI591" s="19"/>
      <c r="BJ591" s="18"/>
      <c r="BK591" s="19"/>
      <c r="BL591" s="19"/>
      <c r="BM591" s="19"/>
      <c r="BN591" s="19"/>
      <c r="BO591" s="18"/>
      <c r="BP591" s="19"/>
      <c r="BQ591" s="19"/>
      <c r="BR591" s="19"/>
      <c r="BS591" s="19"/>
      <c r="BT591" s="18"/>
      <c r="BU591" s="19"/>
      <c r="BV591" s="19"/>
      <c r="BW591" s="19"/>
      <c r="BX591" s="19"/>
      <c r="BY591" s="18"/>
      <c r="BZ591" s="19"/>
      <c r="CA591" s="19"/>
      <c r="CB591" s="19"/>
      <c r="CC591" s="19"/>
      <c r="CD591" s="18"/>
      <c r="CE591" s="19"/>
      <c r="CF591" s="19"/>
      <c r="CG591" s="19"/>
      <c r="CH591" s="19"/>
      <c r="CI591" s="18"/>
      <c r="CJ591" s="19"/>
      <c r="CK591" s="19"/>
      <c r="CL591" s="19"/>
      <c r="CM591" s="19"/>
      <c r="CN591" s="687"/>
      <c r="CO591" s="687"/>
      <c r="CP591" s="687"/>
      <c r="CQ591" s="687"/>
      <c r="CR591" s="687"/>
      <c r="CS591" s="687"/>
      <c r="CT591" s="14"/>
    </row>
    <row r="592" spans="1:98" s="4" customFormat="1" x14ac:dyDescent="0.3">
      <c r="A592" s="14"/>
      <c r="B592" s="292"/>
      <c r="C592" s="292"/>
      <c r="D592" s="14"/>
      <c r="E592" s="14"/>
      <c r="F592" s="703"/>
      <c r="G592" s="14"/>
      <c r="H592" s="14"/>
      <c r="I592" s="14"/>
      <c r="J592" s="14"/>
      <c r="K592" s="14"/>
      <c r="L592" s="14"/>
      <c r="M592" s="14"/>
      <c r="N592" s="703"/>
      <c r="O592" s="111"/>
      <c r="P592" s="703"/>
      <c r="Q592" s="14"/>
      <c r="R592" s="14"/>
      <c r="S592" s="14"/>
      <c r="T592" s="14"/>
      <c r="U592" s="14"/>
      <c r="V592" s="14"/>
      <c r="W592" s="14"/>
      <c r="X592" s="14"/>
      <c r="Y592" s="14"/>
      <c r="Z592" s="14"/>
      <c r="AA592" s="18"/>
      <c r="AB592" s="19"/>
      <c r="AC592" s="19"/>
      <c r="AD592" s="19"/>
      <c r="AE592" s="19"/>
      <c r="AF592" s="18"/>
      <c r="AG592" s="19"/>
      <c r="AH592" s="19"/>
      <c r="AI592" s="19"/>
      <c r="AJ592" s="19"/>
      <c r="AK592" s="18"/>
      <c r="AL592" s="19"/>
      <c r="AM592" s="19"/>
      <c r="AN592" s="19"/>
      <c r="AO592" s="19"/>
      <c r="AP592" s="18"/>
      <c r="AQ592" s="19"/>
      <c r="AR592" s="19"/>
      <c r="AS592" s="19"/>
      <c r="AT592" s="19"/>
      <c r="AU592" s="18"/>
      <c r="AV592" s="19"/>
      <c r="AW592" s="19"/>
      <c r="AX592" s="19"/>
      <c r="AY592" s="19"/>
      <c r="AZ592" s="18"/>
      <c r="BA592" s="19"/>
      <c r="BB592" s="19"/>
      <c r="BC592" s="19"/>
      <c r="BD592" s="19"/>
      <c r="BE592" s="18"/>
      <c r="BF592" s="19"/>
      <c r="BG592" s="19"/>
      <c r="BH592" s="19"/>
      <c r="BI592" s="19"/>
      <c r="BJ592" s="18"/>
      <c r="BK592" s="19"/>
      <c r="BL592" s="19"/>
      <c r="BM592" s="19"/>
      <c r="BN592" s="19"/>
      <c r="BO592" s="18"/>
      <c r="BP592" s="19"/>
      <c r="BQ592" s="19"/>
      <c r="BR592" s="19"/>
      <c r="BS592" s="19"/>
      <c r="BT592" s="18"/>
      <c r="BU592" s="19"/>
      <c r="BV592" s="19"/>
      <c r="BW592" s="19"/>
      <c r="BX592" s="19"/>
      <c r="BY592" s="18"/>
      <c r="BZ592" s="19"/>
      <c r="CA592" s="19"/>
      <c r="CB592" s="19"/>
      <c r="CC592" s="19"/>
      <c r="CD592" s="18"/>
      <c r="CE592" s="19"/>
      <c r="CF592" s="19"/>
      <c r="CG592" s="19"/>
      <c r="CH592" s="19"/>
      <c r="CI592" s="18"/>
      <c r="CJ592" s="19"/>
      <c r="CK592" s="19"/>
      <c r="CL592" s="19"/>
      <c r="CM592" s="19"/>
      <c r="CN592" s="687"/>
      <c r="CO592" s="687"/>
      <c r="CP592" s="687"/>
      <c r="CQ592" s="687"/>
      <c r="CR592" s="687"/>
      <c r="CS592" s="687"/>
      <c r="CT592" s="14"/>
    </row>
    <row r="593" spans="1:98" s="4" customFormat="1" x14ac:dyDescent="0.3">
      <c r="A593" s="14"/>
      <c r="B593" s="292"/>
      <c r="C593" s="292"/>
      <c r="D593" s="14"/>
      <c r="E593" s="14"/>
      <c r="F593" s="703"/>
      <c r="G593" s="14"/>
      <c r="H593" s="14"/>
      <c r="I593" s="14"/>
      <c r="J593" s="14"/>
      <c r="K593" s="14"/>
      <c r="L593" s="14"/>
      <c r="M593" s="14"/>
      <c r="N593" s="703"/>
      <c r="O593" s="111"/>
      <c r="P593" s="703"/>
      <c r="Q593" s="14"/>
      <c r="R593" s="14"/>
      <c r="S593" s="14"/>
      <c r="T593" s="14"/>
      <c r="U593" s="14"/>
      <c r="V593" s="14"/>
      <c r="W593" s="14"/>
      <c r="X593" s="14"/>
      <c r="Y593" s="14"/>
      <c r="Z593" s="14"/>
      <c r="AA593" s="18"/>
      <c r="AB593" s="19"/>
      <c r="AC593" s="19"/>
      <c r="AD593" s="19"/>
      <c r="AE593" s="19"/>
      <c r="AF593" s="18"/>
      <c r="AG593" s="19"/>
      <c r="AH593" s="19"/>
      <c r="AI593" s="19"/>
      <c r="AJ593" s="19"/>
      <c r="AK593" s="18"/>
      <c r="AL593" s="19"/>
      <c r="AM593" s="19"/>
      <c r="AN593" s="19"/>
      <c r="AO593" s="19"/>
      <c r="AP593" s="18"/>
      <c r="AQ593" s="19"/>
      <c r="AR593" s="19"/>
      <c r="AS593" s="19"/>
      <c r="AT593" s="19"/>
      <c r="AU593" s="18"/>
      <c r="AV593" s="19"/>
      <c r="AW593" s="19"/>
      <c r="AX593" s="19"/>
      <c r="AY593" s="19"/>
      <c r="AZ593" s="18"/>
      <c r="BA593" s="19"/>
      <c r="BB593" s="19"/>
      <c r="BC593" s="19"/>
      <c r="BD593" s="19"/>
      <c r="BE593" s="18"/>
      <c r="BF593" s="19"/>
      <c r="BG593" s="19"/>
      <c r="BH593" s="19"/>
      <c r="BI593" s="19"/>
      <c r="BJ593" s="18"/>
      <c r="BK593" s="19"/>
      <c r="BL593" s="19"/>
      <c r="BM593" s="19"/>
      <c r="BN593" s="19"/>
      <c r="BO593" s="18"/>
      <c r="BP593" s="19"/>
      <c r="BQ593" s="19"/>
      <c r="BR593" s="19"/>
      <c r="BS593" s="19"/>
      <c r="BT593" s="18"/>
      <c r="BU593" s="19"/>
      <c r="BV593" s="19"/>
      <c r="BW593" s="19"/>
      <c r="BX593" s="19"/>
      <c r="BY593" s="18"/>
      <c r="BZ593" s="19"/>
      <c r="CA593" s="19"/>
      <c r="CB593" s="19"/>
      <c r="CC593" s="19"/>
      <c r="CD593" s="18"/>
      <c r="CE593" s="19"/>
      <c r="CF593" s="19"/>
      <c r="CG593" s="19"/>
      <c r="CH593" s="19"/>
      <c r="CI593" s="18"/>
      <c r="CJ593" s="19"/>
      <c r="CK593" s="19"/>
      <c r="CL593" s="19"/>
      <c r="CM593" s="19"/>
      <c r="CN593" s="687"/>
      <c r="CO593" s="687"/>
      <c r="CP593" s="687"/>
      <c r="CQ593" s="687"/>
      <c r="CR593" s="687"/>
      <c r="CS593" s="687"/>
      <c r="CT593" s="14"/>
    </row>
    <row r="594" spans="1:98" s="4" customFormat="1" x14ac:dyDescent="0.3">
      <c r="A594" s="14"/>
      <c r="B594" s="292"/>
      <c r="C594" s="292"/>
      <c r="D594" s="14"/>
      <c r="E594" s="14"/>
      <c r="F594" s="703"/>
      <c r="G594" s="14"/>
      <c r="H594" s="14"/>
      <c r="I594" s="14"/>
      <c r="J594" s="14"/>
      <c r="K594" s="14"/>
      <c r="L594" s="14"/>
      <c r="M594" s="14"/>
      <c r="N594" s="703"/>
      <c r="O594" s="111"/>
      <c r="P594" s="703"/>
      <c r="Q594" s="14"/>
      <c r="R594" s="14"/>
      <c r="S594" s="14"/>
      <c r="T594" s="14"/>
      <c r="U594" s="14"/>
      <c r="V594" s="14"/>
      <c r="W594" s="14"/>
      <c r="X594" s="14"/>
      <c r="Y594" s="14"/>
      <c r="Z594" s="14"/>
      <c r="AA594" s="18"/>
      <c r="AB594" s="19"/>
      <c r="AC594" s="19"/>
      <c r="AD594" s="19"/>
      <c r="AE594" s="19"/>
      <c r="AF594" s="18"/>
      <c r="AG594" s="19"/>
      <c r="AH594" s="19"/>
      <c r="AI594" s="19"/>
      <c r="AJ594" s="19"/>
      <c r="AK594" s="18"/>
      <c r="AL594" s="19"/>
      <c r="AM594" s="19"/>
      <c r="AN594" s="19"/>
      <c r="AO594" s="19"/>
      <c r="AP594" s="18"/>
      <c r="AQ594" s="19"/>
      <c r="AR594" s="19"/>
      <c r="AS594" s="19"/>
      <c r="AT594" s="19"/>
      <c r="AU594" s="18"/>
      <c r="AV594" s="19"/>
      <c r="AW594" s="19"/>
      <c r="AX594" s="19"/>
      <c r="AY594" s="19"/>
      <c r="AZ594" s="18"/>
      <c r="BA594" s="19"/>
      <c r="BB594" s="19"/>
      <c r="BC594" s="19"/>
      <c r="BD594" s="19"/>
      <c r="BE594" s="18"/>
      <c r="BF594" s="19"/>
      <c r="BG594" s="19"/>
      <c r="BH594" s="19"/>
      <c r="BI594" s="19"/>
      <c r="BJ594" s="18"/>
      <c r="BK594" s="19"/>
      <c r="BL594" s="19"/>
      <c r="BM594" s="19"/>
      <c r="BN594" s="19"/>
      <c r="BO594" s="18"/>
      <c r="BP594" s="19"/>
      <c r="BQ594" s="19"/>
      <c r="BR594" s="19"/>
      <c r="BS594" s="19"/>
      <c r="BT594" s="18"/>
      <c r="BU594" s="19"/>
      <c r="BV594" s="19"/>
      <c r="BW594" s="19"/>
      <c r="BX594" s="19"/>
      <c r="BY594" s="18"/>
      <c r="BZ594" s="19"/>
      <c r="CA594" s="19"/>
      <c r="CB594" s="19"/>
      <c r="CC594" s="19"/>
      <c r="CD594" s="18"/>
      <c r="CE594" s="19"/>
      <c r="CF594" s="19"/>
      <c r="CG594" s="19"/>
      <c r="CH594" s="19"/>
      <c r="CI594" s="18"/>
      <c r="CJ594" s="19"/>
      <c r="CK594" s="19"/>
      <c r="CL594" s="19"/>
      <c r="CM594" s="19"/>
      <c r="CN594" s="687"/>
      <c r="CO594" s="687"/>
      <c r="CP594" s="687"/>
      <c r="CQ594" s="687"/>
      <c r="CR594" s="687"/>
      <c r="CS594" s="687"/>
      <c r="CT594" s="14"/>
    </row>
    <row r="595" spans="1:98" s="4" customFormat="1" x14ac:dyDescent="0.3">
      <c r="A595" s="14"/>
      <c r="B595" s="292"/>
      <c r="C595" s="292"/>
      <c r="D595" s="14"/>
      <c r="E595" s="14"/>
      <c r="F595" s="703"/>
      <c r="G595" s="14"/>
      <c r="H595" s="14"/>
      <c r="I595" s="14"/>
      <c r="J595" s="14"/>
      <c r="K595" s="14"/>
      <c r="L595" s="14"/>
      <c r="M595" s="14"/>
      <c r="N595" s="703"/>
      <c r="O595" s="111"/>
      <c r="P595" s="703"/>
      <c r="Q595" s="14"/>
      <c r="R595" s="14"/>
      <c r="S595" s="14"/>
      <c r="T595" s="14"/>
      <c r="U595" s="14"/>
      <c r="V595" s="14"/>
      <c r="W595" s="14"/>
      <c r="X595" s="14"/>
      <c r="Y595" s="14"/>
      <c r="Z595" s="14"/>
      <c r="AA595" s="18"/>
      <c r="AB595" s="19"/>
      <c r="AC595" s="19"/>
      <c r="AD595" s="19"/>
      <c r="AE595" s="19"/>
      <c r="AF595" s="18"/>
      <c r="AG595" s="19"/>
      <c r="AH595" s="19"/>
      <c r="AI595" s="19"/>
      <c r="AJ595" s="19"/>
      <c r="AK595" s="18"/>
      <c r="AL595" s="19"/>
      <c r="AM595" s="19"/>
      <c r="AN595" s="19"/>
      <c r="AO595" s="19"/>
      <c r="AP595" s="18"/>
      <c r="AQ595" s="19"/>
      <c r="AR595" s="19"/>
      <c r="AS595" s="19"/>
      <c r="AT595" s="19"/>
      <c r="AU595" s="18"/>
      <c r="AV595" s="19"/>
      <c r="AW595" s="19"/>
      <c r="AX595" s="19"/>
      <c r="AY595" s="19"/>
      <c r="AZ595" s="18"/>
      <c r="BA595" s="19"/>
      <c r="BB595" s="19"/>
      <c r="BC595" s="19"/>
      <c r="BD595" s="19"/>
      <c r="BE595" s="18"/>
      <c r="BF595" s="19"/>
      <c r="BG595" s="19"/>
      <c r="BH595" s="19"/>
      <c r="BI595" s="19"/>
      <c r="BJ595" s="18"/>
      <c r="BK595" s="19"/>
      <c r="BL595" s="19"/>
      <c r="BM595" s="19"/>
      <c r="BN595" s="19"/>
      <c r="BO595" s="18"/>
      <c r="BP595" s="19"/>
      <c r="BQ595" s="19"/>
      <c r="BR595" s="19"/>
      <c r="BS595" s="19"/>
      <c r="BT595" s="18"/>
      <c r="BU595" s="19"/>
      <c r="BV595" s="19"/>
      <c r="BW595" s="19"/>
      <c r="BX595" s="19"/>
      <c r="BY595" s="18"/>
      <c r="BZ595" s="19"/>
      <c r="CA595" s="19"/>
      <c r="CB595" s="19"/>
      <c r="CC595" s="19"/>
      <c r="CD595" s="18"/>
      <c r="CE595" s="19"/>
      <c r="CF595" s="19"/>
      <c r="CG595" s="19"/>
      <c r="CH595" s="19"/>
      <c r="CI595" s="18"/>
      <c r="CJ595" s="19"/>
      <c r="CK595" s="19"/>
      <c r="CL595" s="19"/>
      <c r="CM595" s="19"/>
      <c r="CN595" s="687"/>
      <c r="CO595" s="687"/>
      <c r="CP595" s="687"/>
      <c r="CQ595" s="687"/>
      <c r="CR595" s="687"/>
      <c r="CS595" s="687"/>
      <c r="CT595" s="14"/>
    </row>
    <row r="596" spans="1:98" s="4" customFormat="1" x14ac:dyDescent="0.3">
      <c r="A596" s="14"/>
      <c r="B596" s="292"/>
      <c r="C596" s="292"/>
      <c r="D596" s="14"/>
      <c r="E596" s="14"/>
      <c r="F596" s="703"/>
      <c r="G596" s="14"/>
      <c r="H596" s="14"/>
      <c r="I596" s="14"/>
      <c r="J596" s="14"/>
      <c r="K596" s="14"/>
      <c r="L596" s="14"/>
      <c r="M596" s="14"/>
      <c r="N596" s="703"/>
      <c r="O596" s="111"/>
      <c r="P596" s="703"/>
      <c r="Q596" s="14"/>
      <c r="R596" s="14"/>
      <c r="S596" s="14"/>
      <c r="T596" s="14"/>
      <c r="U596" s="14"/>
      <c r="V596" s="14"/>
      <c r="W596" s="14"/>
      <c r="X596" s="14"/>
      <c r="Y596" s="14"/>
      <c r="Z596" s="14"/>
      <c r="AA596" s="18"/>
      <c r="AB596" s="19"/>
      <c r="AC596" s="19"/>
      <c r="AD596" s="19"/>
      <c r="AE596" s="19"/>
      <c r="AF596" s="18"/>
      <c r="AG596" s="19"/>
      <c r="AH596" s="19"/>
      <c r="AI596" s="19"/>
      <c r="AJ596" s="19"/>
      <c r="AK596" s="18"/>
      <c r="AL596" s="19"/>
      <c r="AM596" s="19"/>
      <c r="AN596" s="19"/>
      <c r="AO596" s="19"/>
      <c r="AP596" s="18"/>
      <c r="AQ596" s="19"/>
      <c r="AR596" s="19"/>
      <c r="AS596" s="19"/>
      <c r="AT596" s="19"/>
      <c r="AU596" s="18"/>
      <c r="AV596" s="19"/>
      <c r="AW596" s="19"/>
      <c r="AX596" s="19"/>
      <c r="AY596" s="19"/>
      <c r="AZ596" s="18"/>
      <c r="BA596" s="19"/>
      <c r="BB596" s="19"/>
      <c r="BC596" s="19"/>
      <c r="BD596" s="19"/>
      <c r="BE596" s="18"/>
      <c r="BF596" s="19"/>
      <c r="BG596" s="19"/>
      <c r="BH596" s="19"/>
      <c r="BI596" s="19"/>
      <c r="BJ596" s="18"/>
      <c r="BK596" s="19"/>
      <c r="BL596" s="19"/>
      <c r="BM596" s="19"/>
      <c r="BN596" s="19"/>
      <c r="BO596" s="18"/>
      <c r="BP596" s="19"/>
      <c r="BQ596" s="19"/>
      <c r="BR596" s="19"/>
      <c r="BS596" s="19"/>
      <c r="BT596" s="18"/>
      <c r="BU596" s="19"/>
      <c r="BV596" s="19"/>
      <c r="BW596" s="19"/>
      <c r="BX596" s="19"/>
      <c r="BY596" s="18"/>
      <c r="BZ596" s="19"/>
      <c r="CA596" s="19"/>
      <c r="CB596" s="19"/>
      <c r="CC596" s="19"/>
      <c r="CD596" s="18"/>
      <c r="CE596" s="19"/>
      <c r="CF596" s="19"/>
      <c r="CG596" s="19"/>
      <c r="CH596" s="19"/>
      <c r="CI596" s="18"/>
      <c r="CJ596" s="19"/>
      <c r="CK596" s="19"/>
      <c r="CL596" s="19"/>
      <c r="CM596" s="19"/>
      <c r="CN596" s="687"/>
      <c r="CO596" s="687"/>
      <c r="CP596" s="687"/>
      <c r="CQ596" s="687"/>
      <c r="CR596" s="687"/>
      <c r="CS596" s="687"/>
      <c r="CT596" s="14"/>
    </row>
    <row r="597" spans="1:98" s="4" customFormat="1" x14ac:dyDescent="0.3">
      <c r="A597" s="14"/>
      <c r="B597" s="292"/>
      <c r="C597" s="292"/>
      <c r="D597" s="14"/>
      <c r="E597" s="14"/>
      <c r="F597" s="703"/>
      <c r="G597" s="14"/>
      <c r="H597" s="14"/>
      <c r="I597" s="14"/>
      <c r="J597" s="14"/>
      <c r="K597" s="14"/>
      <c r="L597" s="14"/>
      <c r="M597" s="14"/>
      <c r="N597" s="703"/>
      <c r="O597" s="111"/>
      <c r="P597" s="703"/>
      <c r="Q597" s="14"/>
      <c r="R597" s="14"/>
      <c r="S597" s="14"/>
      <c r="T597" s="14"/>
      <c r="U597" s="14"/>
      <c r="V597" s="14"/>
      <c r="W597" s="14"/>
      <c r="X597" s="14"/>
      <c r="Y597" s="14"/>
      <c r="Z597" s="14"/>
      <c r="AA597" s="18"/>
      <c r="AB597" s="19"/>
      <c r="AC597" s="19"/>
      <c r="AD597" s="19"/>
      <c r="AE597" s="19"/>
      <c r="AF597" s="18"/>
      <c r="AG597" s="19"/>
      <c r="AH597" s="19"/>
      <c r="AI597" s="19"/>
      <c r="AJ597" s="19"/>
      <c r="AK597" s="18"/>
      <c r="AL597" s="19"/>
      <c r="AM597" s="19"/>
      <c r="AN597" s="19"/>
      <c r="AO597" s="19"/>
      <c r="AP597" s="18"/>
      <c r="AQ597" s="19"/>
      <c r="AR597" s="19"/>
      <c r="AS597" s="19"/>
      <c r="AT597" s="19"/>
      <c r="AU597" s="18"/>
      <c r="AV597" s="19"/>
      <c r="AW597" s="19"/>
      <c r="AX597" s="19"/>
      <c r="AY597" s="19"/>
      <c r="AZ597" s="18"/>
      <c r="BA597" s="19"/>
      <c r="BB597" s="19"/>
      <c r="BC597" s="19"/>
      <c r="BD597" s="19"/>
      <c r="BE597" s="18"/>
      <c r="BF597" s="19"/>
      <c r="BG597" s="19"/>
      <c r="BH597" s="19"/>
      <c r="BI597" s="19"/>
      <c r="BJ597" s="18"/>
      <c r="BK597" s="19"/>
      <c r="BL597" s="19"/>
      <c r="BM597" s="19"/>
      <c r="BN597" s="19"/>
      <c r="BO597" s="18"/>
      <c r="BP597" s="19"/>
      <c r="BQ597" s="19"/>
      <c r="BR597" s="19"/>
      <c r="BS597" s="19"/>
      <c r="BT597" s="18"/>
      <c r="BU597" s="19"/>
      <c r="BV597" s="19"/>
      <c r="BW597" s="19"/>
      <c r="BX597" s="19"/>
      <c r="BY597" s="18"/>
      <c r="BZ597" s="19"/>
      <c r="CA597" s="19"/>
      <c r="CB597" s="19"/>
      <c r="CC597" s="19"/>
      <c r="CD597" s="18"/>
      <c r="CE597" s="19"/>
      <c r="CF597" s="19"/>
      <c r="CG597" s="19"/>
      <c r="CH597" s="19"/>
      <c r="CI597" s="18"/>
      <c r="CJ597" s="19"/>
      <c r="CK597" s="19"/>
      <c r="CL597" s="19"/>
      <c r="CM597" s="19"/>
      <c r="CN597" s="687"/>
      <c r="CO597" s="687"/>
      <c r="CP597" s="687"/>
      <c r="CQ597" s="687"/>
      <c r="CR597" s="687"/>
      <c r="CS597" s="687"/>
      <c r="CT597" s="14"/>
    </row>
    <row r="598" spans="1:98" s="4" customFormat="1" x14ac:dyDescent="0.3">
      <c r="A598" s="14"/>
      <c r="B598" s="292"/>
      <c r="C598" s="292"/>
      <c r="D598" s="14"/>
      <c r="E598" s="14"/>
      <c r="F598" s="703"/>
      <c r="G598" s="14"/>
      <c r="H598" s="14"/>
      <c r="I598" s="14"/>
      <c r="J598" s="14"/>
      <c r="K598" s="14"/>
      <c r="L598" s="14"/>
      <c r="M598" s="14"/>
      <c r="N598" s="703"/>
      <c r="O598" s="111"/>
      <c r="P598" s="703"/>
      <c r="Q598" s="14"/>
      <c r="R598" s="14"/>
      <c r="S598" s="14"/>
      <c r="T598" s="14"/>
      <c r="U598" s="14"/>
      <c r="V598" s="14"/>
      <c r="W598" s="14"/>
      <c r="X598" s="14"/>
      <c r="Y598" s="14"/>
      <c r="Z598" s="14"/>
      <c r="AA598" s="18"/>
      <c r="AB598" s="19"/>
      <c r="AC598" s="19"/>
      <c r="AD598" s="19"/>
      <c r="AE598" s="19"/>
      <c r="AF598" s="18"/>
      <c r="AG598" s="19"/>
      <c r="AH598" s="19"/>
      <c r="AI598" s="19"/>
      <c r="AJ598" s="19"/>
      <c r="AK598" s="18"/>
      <c r="AL598" s="19"/>
      <c r="AM598" s="19"/>
      <c r="AN598" s="19"/>
      <c r="AO598" s="19"/>
      <c r="AP598" s="18"/>
      <c r="AQ598" s="19"/>
      <c r="AR598" s="19"/>
      <c r="AS598" s="19"/>
      <c r="AT598" s="19"/>
      <c r="AU598" s="18"/>
      <c r="AV598" s="19"/>
      <c r="AW598" s="19"/>
      <c r="AX598" s="19"/>
      <c r="AY598" s="19"/>
      <c r="AZ598" s="18"/>
      <c r="BA598" s="19"/>
      <c r="BB598" s="19"/>
      <c r="BC598" s="19"/>
      <c r="BD598" s="19"/>
      <c r="BE598" s="18"/>
      <c r="BF598" s="19"/>
      <c r="BG598" s="19"/>
      <c r="BH598" s="19"/>
      <c r="BI598" s="19"/>
      <c r="BJ598" s="18"/>
      <c r="BK598" s="19"/>
      <c r="BL598" s="19"/>
      <c r="BM598" s="19"/>
      <c r="BN598" s="19"/>
      <c r="BO598" s="18"/>
      <c r="BP598" s="19"/>
      <c r="BQ598" s="19"/>
      <c r="BR598" s="19"/>
      <c r="BS598" s="19"/>
      <c r="BT598" s="18"/>
      <c r="BU598" s="19"/>
      <c r="BV598" s="19"/>
      <c r="BW598" s="19"/>
      <c r="BX598" s="19"/>
      <c r="BY598" s="18"/>
      <c r="BZ598" s="19"/>
      <c r="CA598" s="19"/>
      <c r="CB598" s="19"/>
      <c r="CC598" s="19"/>
      <c r="CD598" s="18"/>
      <c r="CE598" s="19"/>
      <c r="CF598" s="19"/>
      <c r="CG598" s="19"/>
      <c r="CH598" s="19"/>
      <c r="CI598" s="18"/>
      <c r="CJ598" s="19"/>
      <c r="CK598" s="19"/>
      <c r="CL598" s="19"/>
      <c r="CM598" s="19"/>
      <c r="CN598" s="687"/>
      <c r="CO598" s="687"/>
      <c r="CP598" s="687"/>
      <c r="CQ598" s="687"/>
      <c r="CR598" s="687"/>
      <c r="CS598" s="687"/>
      <c r="CT598" s="14"/>
    </row>
    <row r="599" spans="1:98" s="4" customFormat="1" x14ac:dyDescent="0.3">
      <c r="A599" s="14"/>
      <c r="B599" s="292"/>
      <c r="C599" s="292"/>
      <c r="D599" s="14"/>
      <c r="E599" s="14"/>
      <c r="F599" s="703"/>
      <c r="G599" s="14"/>
      <c r="H599" s="14"/>
      <c r="I599" s="14"/>
      <c r="J599" s="14"/>
      <c r="K599" s="14"/>
      <c r="L599" s="14"/>
      <c r="M599" s="14"/>
      <c r="N599" s="703"/>
      <c r="O599" s="111"/>
      <c r="P599" s="703"/>
      <c r="Q599" s="14"/>
      <c r="R599" s="14"/>
      <c r="S599" s="14"/>
      <c r="T599" s="14"/>
      <c r="U599" s="14"/>
      <c r="V599" s="14"/>
      <c r="W599" s="14"/>
      <c r="X599" s="14"/>
      <c r="Y599" s="14"/>
      <c r="Z599" s="14"/>
      <c r="AA599" s="18"/>
      <c r="AB599" s="19"/>
      <c r="AC599" s="19"/>
      <c r="AD599" s="19"/>
      <c r="AE599" s="19"/>
      <c r="AF599" s="18"/>
      <c r="AG599" s="19"/>
      <c r="AH599" s="19"/>
      <c r="AI599" s="19"/>
      <c r="AJ599" s="19"/>
      <c r="AK599" s="18"/>
      <c r="AL599" s="19"/>
      <c r="AM599" s="19"/>
      <c r="AN599" s="19"/>
      <c r="AO599" s="19"/>
      <c r="AP599" s="18"/>
      <c r="AQ599" s="19"/>
      <c r="AR599" s="19"/>
      <c r="AS599" s="19"/>
      <c r="AT599" s="19"/>
      <c r="AU599" s="18"/>
      <c r="AV599" s="19"/>
      <c r="AW599" s="19"/>
      <c r="AX599" s="19"/>
      <c r="AY599" s="19"/>
      <c r="AZ599" s="18"/>
      <c r="BA599" s="19"/>
      <c r="BB599" s="19"/>
      <c r="BC599" s="19"/>
      <c r="BD599" s="19"/>
      <c r="BE599" s="18"/>
      <c r="BF599" s="19"/>
      <c r="BG599" s="19"/>
      <c r="BH599" s="19"/>
      <c r="BI599" s="19"/>
      <c r="BJ599" s="18"/>
      <c r="BK599" s="19"/>
      <c r="BL599" s="19"/>
      <c r="BM599" s="19"/>
      <c r="BN599" s="19"/>
      <c r="BO599" s="18"/>
      <c r="BP599" s="19"/>
      <c r="BQ599" s="19"/>
      <c r="BR599" s="19"/>
      <c r="BS599" s="19"/>
      <c r="BT599" s="18"/>
      <c r="BU599" s="19"/>
      <c r="BV599" s="19"/>
      <c r="BW599" s="19"/>
      <c r="BX599" s="19"/>
      <c r="BY599" s="18"/>
      <c r="BZ599" s="19"/>
      <c r="CA599" s="19"/>
      <c r="CB599" s="19"/>
      <c r="CC599" s="19"/>
      <c r="CD599" s="18"/>
      <c r="CE599" s="19"/>
      <c r="CF599" s="19"/>
      <c r="CG599" s="19"/>
      <c r="CH599" s="19"/>
      <c r="CI599" s="18"/>
      <c r="CJ599" s="19"/>
      <c r="CK599" s="19"/>
      <c r="CL599" s="19"/>
      <c r="CM599" s="19"/>
      <c r="CN599" s="687"/>
      <c r="CO599" s="687"/>
      <c r="CP599" s="687"/>
      <c r="CQ599" s="687"/>
      <c r="CR599" s="687"/>
      <c r="CS599" s="687"/>
      <c r="CT599" s="14"/>
    </row>
    <row r="600" spans="1:98" s="4" customFormat="1" x14ac:dyDescent="0.3">
      <c r="A600" s="14"/>
      <c r="B600" s="292"/>
      <c r="C600" s="292"/>
      <c r="D600" s="14"/>
      <c r="E600" s="14"/>
      <c r="F600" s="703"/>
      <c r="G600" s="14"/>
      <c r="H600" s="14"/>
      <c r="I600" s="14"/>
      <c r="J600" s="14"/>
      <c r="K600" s="14"/>
      <c r="L600" s="14"/>
      <c r="M600" s="14"/>
      <c r="N600" s="703"/>
      <c r="O600" s="111"/>
      <c r="P600" s="703"/>
      <c r="Q600" s="14"/>
      <c r="R600" s="14"/>
      <c r="S600" s="14"/>
      <c r="T600" s="14"/>
      <c r="U600" s="14"/>
      <c r="V600" s="14"/>
      <c r="W600" s="14"/>
      <c r="X600" s="14"/>
      <c r="Y600" s="14"/>
      <c r="Z600" s="14"/>
      <c r="AA600" s="18"/>
      <c r="AB600" s="19"/>
      <c r="AC600" s="19"/>
      <c r="AD600" s="19"/>
      <c r="AE600" s="19"/>
      <c r="AF600" s="18"/>
      <c r="AG600" s="19"/>
      <c r="AH600" s="19"/>
      <c r="AI600" s="19"/>
      <c r="AJ600" s="19"/>
      <c r="AK600" s="18"/>
      <c r="AL600" s="19"/>
      <c r="AM600" s="19"/>
      <c r="AN600" s="19"/>
      <c r="AO600" s="19"/>
      <c r="AP600" s="18"/>
      <c r="AQ600" s="19"/>
      <c r="AR600" s="19"/>
      <c r="AS600" s="19"/>
      <c r="AT600" s="19"/>
      <c r="AU600" s="18"/>
      <c r="AV600" s="19"/>
      <c r="AW600" s="19"/>
      <c r="AX600" s="19"/>
      <c r="AY600" s="19"/>
      <c r="AZ600" s="18"/>
      <c r="BA600" s="19"/>
      <c r="BB600" s="19"/>
      <c r="BC600" s="19"/>
      <c r="BD600" s="19"/>
      <c r="BE600" s="18"/>
      <c r="BF600" s="19"/>
      <c r="BG600" s="19"/>
      <c r="BH600" s="19"/>
      <c r="BI600" s="19"/>
      <c r="BJ600" s="18"/>
      <c r="BK600" s="19"/>
      <c r="BL600" s="19"/>
      <c r="BM600" s="19"/>
      <c r="BN600" s="19"/>
      <c r="BO600" s="18"/>
      <c r="BP600" s="19"/>
      <c r="BQ600" s="19"/>
      <c r="BR600" s="19"/>
      <c r="BS600" s="19"/>
      <c r="BT600" s="18"/>
      <c r="BU600" s="19"/>
      <c r="BV600" s="19"/>
      <c r="BW600" s="19"/>
      <c r="BX600" s="19"/>
      <c r="BY600" s="18"/>
      <c r="BZ600" s="19"/>
      <c r="CA600" s="19"/>
      <c r="CB600" s="19"/>
      <c r="CC600" s="19"/>
      <c r="CD600" s="18"/>
      <c r="CE600" s="19"/>
      <c r="CF600" s="19"/>
      <c r="CG600" s="19"/>
      <c r="CH600" s="19"/>
      <c r="CI600" s="18"/>
      <c r="CJ600" s="19"/>
      <c r="CK600" s="19"/>
      <c r="CL600" s="19"/>
      <c r="CM600" s="19"/>
      <c r="CN600" s="687"/>
      <c r="CO600" s="687"/>
      <c r="CP600" s="687"/>
      <c r="CQ600" s="687"/>
      <c r="CR600" s="687"/>
      <c r="CS600" s="687"/>
      <c r="CT600" s="14"/>
    </row>
    <row r="601" spans="1:98" s="4" customFormat="1" x14ac:dyDescent="0.3">
      <c r="A601" s="14"/>
      <c r="B601" s="292"/>
      <c r="C601" s="292"/>
      <c r="D601" s="14"/>
      <c r="E601" s="14"/>
      <c r="F601" s="703"/>
      <c r="G601" s="14"/>
      <c r="H601" s="14"/>
      <c r="I601" s="14"/>
      <c r="J601" s="14"/>
      <c r="K601" s="14"/>
      <c r="L601" s="14"/>
      <c r="M601" s="14"/>
      <c r="N601" s="703"/>
      <c r="O601" s="111"/>
      <c r="P601" s="703"/>
      <c r="Q601" s="14"/>
      <c r="R601" s="14"/>
      <c r="S601" s="14"/>
      <c r="T601" s="14"/>
      <c r="U601" s="14"/>
      <c r="V601" s="14"/>
      <c r="W601" s="14"/>
      <c r="X601" s="14"/>
      <c r="Y601" s="14"/>
      <c r="Z601" s="14"/>
      <c r="AA601" s="18"/>
      <c r="AB601" s="19"/>
      <c r="AC601" s="19"/>
      <c r="AD601" s="19"/>
      <c r="AE601" s="19"/>
      <c r="AF601" s="18"/>
      <c r="AG601" s="19"/>
      <c r="AH601" s="19"/>
      <c r="AI601" s="19"/>
      <c r="AJ601" s="19"/>
      <c r="AK601" s="18"/>
      <c r="AL601" s="19"/>
      <c r="AM601" s="19"/>
      <c r="AN601" s="19"/>
      <c r="AO601" s="19"/>
      <c r="AP601" s="18"/>
      <c r="AQ601" s="19"/>
      <c r="AR601" s="19"/>
      <c r="AS601" s="19"/>
      <c r="AT601" s="19"/>
      <c r="AU601" s="18"/>
      <c r="AV601" s="19"/>
      <c r="AW601" s="19"/>
      <c r="AX601" s="19"/>
      <c r="AY601" s="19"/>
      <c r="AZ601" s="18"/>
      <c r="BA601" s="19"/>
      <c r="BB601" s="19"/>
      <c r="BC601" s="19"/>
      <c r="BD601" s="19"/>
      <c r="BE601" s="18"/>
      <c r="BF601" s="19"/>
      <c r="BG601" s="19"/>
      <c r="BH601" s="19"/>
      <c r="BI601" s="19"/>
      <c r="BJ601" s="18"/>
      <c r="BK601" s="19"/>
      <c r="BL601" s="19"/>
      <c r="BM601" s="19"/>
      <c r="BN601" s="19"/>
      <c r="BO601" s="18"/>
      <c r="BP601" s="19"/>
      <c r="BQ601" s="19"/>
      <c r="BR601" s="19"/>
      <c r="BS601" s="19"/>
      <c r="BT601" s="18"/>
      <c r="BU601" s="19"/>
      <c r="BV601" s="19"/>
      <c r="BW601" s="19"/>
      <c r="BX601" s="19"/>
      <c r="BY601" s="18"/>
      <c r="BZ601" s="19"/>
      <c r="CA601" s="19"/>
      <c r="CB601" s="19"/>
      <c r="CC601" s="19"/>
      <c r="CD601" s="18"/>
      <c r="CE601" s="19"/>
      <c r="CF601" s="19"/>
      <c r="CG601" s="19"/>
      <c r="CH601" s="19"/>
      <c r="CI601" s="18"/>
      <c r="CJ601" s="19"/>
      <c r="CK601" s="19"/>
      <c r="CL601" s="19"/>
      <c r="CM601" s="19"/>
      <c r="CN601" s="687"/>
      <c r="CO601" s="687"/>
      <c r="CP601" s="687"/>
      <c r="CQ601" s="687"/>
      <c r="CR601" s="687"/>
      <c r="CS601" s="687"/>
      <c r="CT601" s="14"/>
    </row>
    <row r="602" spans="1:98" s="4" customFormat="1" x14ac:dyDescent="0.3">
      <c r="A602" s="14"/>
      <c r="B602" s="292"/>
      <c r="C602" s="292"/>
      <c r="D602" s="14"/>
      <c r="E602" s="14"/>
      <c r="F602" s="703"/>
      <c r="G602" s="14"/>
      <c r="H602" s="14"/>
      <c r="I602" s="14"/>
      <c r="J602" s="14"/>
      <c r="K602" s="14"/>
      <c r="L602" s="14"/>
      <c r="M602" s="14"/>
      <c r="N602" s="703"/>
      <c r="O602" s="111"/>
      <c r="P602" s="703"/>
      <c r="Q602" s="14"/>
      <c r="R602" s="14"/>
      <c r="S602" s="14"/>
      <c r="T602" s="14"/>
      <c r="U602" s="14"/>
      <c r="V602" s="14"/>
      <c r="W602" s="14"/>
      <c r="X602" s="14"/>
      <c r="Y602" s="14"/>
      <c r="Z602" s="14"/>
      <c r="AA602" s="18"/>
      <c r="AB602" s="19"/>
      <c r="AC602" s="19"/>
      <c r="AD602" s="19"/>
      <c r="AE602" s="19"/>
      <c r="AF602" s="18"/>
      <c r="AG602" s="19"/>
      <c r="AH602" s="19"/>
      <c r="AI602" s="19"/>
      <c r="AJ602" s="19"/>
      <c r="AK602" s="18"/>
      <c r="AL602" s="19"/>
      <c r="AM602" s="19"/>
      <c r="AN602" s="19"/>
      <c r="AO602" s="19"/>
      <c r="AP602" s="18"/>
      <c r="AQ602" s="19"/>
      <c r="AR602" s="19"/>
      <c r="AS602" s="19"/>
      <c r="AT602" s="19"/>
      <c r="AU602" s="18"/>
      <c r="AV602" s="19"/>
      <c r="AW602" s="19"/>
      <c r="AX602" s="19"/>
      <c r="AY602" s="19"/>
      <c r="AZ602" s="18"/>
      <c r="BA602" s="19"/>
      <c r="BB602" s="19"/>
      <c r="BC602" s="19"/>
      <c r="BD602" s="19"/>
      <c r="BE602" s="18"/>
      <c r="BF602" s="19"/>
      <c r="BG602" s="19"/>
      <c r="BH602" s="19"/>
      <c r="BI602" s="19"/>
      <c r="BJ602" s="18"/>
      <c r="BK602" s="19"/>
      <c r="BL602" s="19"/>
      <c r="BM602" s="19"/>
      <c r="BN602" s="19"/>
      <c r="BO602" s="18"/>
      <c r="BP602" s="19"/>
      <c r="BQ602" s="19"/>
      <c r="BR602" s="19"/>
      <c r="BS602" s="19"/>
      <c r="BT602" s="18"/>
      <c r="BU602" s="19"/>
      <c r="BV602" s="19"/>
      <c r="BW602" s="19"/>
      <c r="BX602" s="19"/>
      <c r="BY602" s="18"/>
      <c r="BZ602" s="19"/>
      <c r="CA602" s="19"/>
      <c r="CB602" s="19"/>
      <c r="CC602" s="19"/>
      <c r="CD602" s="18"/>
      <c r="CE602" s="19"/>
      <c r="CF602" s="19"/>
      <c r="CG602" s="19"/>
      <c r="CH602" s="19"/>
      <c r="CI602" s="18"/>
      <c r="CJ602" s="19"/>
      <c r="CK602" s="19"/>
      <c r="CL602" s="19"/>
      <c r="CM602" s="19"/>
      <c r="CN602" s="687"/>
      <c r="CO602" s="687"/>
      <c r="CP602" s="687"/>
      <c r="CQ602" s="687"/>
      <c r="CR602" s="687"/>
      <c r="CS602" s="687"/>
      <c r="CT602" s="14"/>
    </row>
    <row r="603" spans="1:98" s="4" customFormat="1" x14ac:dyDescent="0.3">
      <c r="A603" s="14"/>
      <c r="B603" s="292"/>
      <c r="C603" s="292"/>
      <c r="D603" s="14"/>
      <c r="E603" s="14"/>
      <c r="F603" s="703"/>
      <c r="G603" s="14"/>
      <c r="H603" s="14"/>
      <c r="I603" s="14"/>
      <c r="J603" s="14"/>
      <c r="K603" s="14"/>
      <c r="L603" s="14"/>
      <c r="M603" s="14"/>
      <c r="N603" s="703"/>
      <c r="O603" s="111"/>
      <c r="P603" s="703"/>
      <c r="Q603" s="14"/>
      <c r="R603" s="14"/>
      <c r="S603" s="14"/>
      <c r="T603" s="14"/>
      <c r="U603" s="14"/>
      <c r="V603" s="14"/>
      <c r="W603" s="14"/>
      <c r="X603" s="14"/>
      <c r="Y603" s="14"/>
      <c r="Z603" s="14"/>
      <c r="AA603" s="18"/>
      <c r="AB603" s="19"/>
      <c r="AC603" s="19"/>
      <c r="AD603" s="19"/>
      <c r="AE603" s="19"/>
      <c r="AF603" s="18"/>
      <c r="AG603" s="19"/>
      <c r="AH603" s="19"/>
      <c r="AI603" s="19"/>
      <c r="AJ603" s="19"/>
      <c r="AK603" s="18"/>
      <c r="AL603" s="19"/>
      <c r="AM603" s="19"/>
      <c r="AN603" s="19"/>
      <c r="AO603" s="19"/>
      <c r="AP603" s="18"/>
      <c r="AQ603" s="19"/>
      <c r="AR603" s="19"/>
      <c r="AS603" s="19"/>
      <c r="AT603" s="19"/>
      <c r="AU603" s="18"/>
      <c r="AV603" s="19"/>
      <c r="AW603" s="19"/>
      <c r="AX603" s="19"/>
      <c r="AY603" s="19"/>
      <c r="AZ603" s="18"/>
      <c r="BA603" s="19"/>
      <c r="BB603" s="19"/>
      <c r="BC603" s="19"/>
      <c r="BD603" s="19"/>
      <c r="BE603" s="18"/>
      <c r="BF603" s="19"/>
      <c r="BG603" s="19"/>
      <c r="BH603" s="19"/>
      <c r="BI603" s="19"/>
      <c r="BJ603" s="18"/>
      <c r="BK603" s="19"/>
      <c r="BL603" s="19"/>
      <c r="BM603" s="19"/>
      <c r="BN603" s="19"/>
      <c r="BO603" s="18"/>
      <c r="BP603" s="19"/>
      <c r="BQ603" s="19"/>
      <c r="BR603" s="19"/>
      <c r="BS603" s="19"/>
      <c r="BT603" s="18"/>
      <c r="BU603" s="19"/>
      <c r="BV603" s="19"/>
      <c r="BW603" s="19"/>
      <c r="BX603" s="19"/>
      <c r="BY603" s="18"/>
      <c r="BZ603" s="19"/>
      <c r="CA603" s="19"/>
      <c r="CB603" s="19"/>
      <c r="CC603" s="19"/>
      <c r="CD603" s="18"/>
      <c r="CE603" s="19"/>
      <c r="CF603" s="19"/>
      <c r="CG603" s="19"/>
      <c r="CH603" s="19"/>
      <c r="CI603" s="18"/>
      <c r="CJ603" s="19"/>
      <c r="CK603" s="19"/>
      <c r="CL603" s="19"/>
      <c r="CM603" s="19"/>
      <c r="CN603" s="687"/>
      <c r="CO603" s="687"/>
      <c r="CP603" s="687"/>
      <c r="CQ603" s="687"/>
      <c r="CR603" s="687"/>
      <c r="CS603" s="687"/>
      <c r="CT603" s="14"/>
    </row>
    <row r="604" spans="1:98" s="4" customFormat="1" x14ac:dyDescent="0.3">
      <c r="A604" s="14"/>
      <c r="B604" s="292"/>
      <c r="C604" s="292"/>
      <c r="D604" s="14"/>
      <c r="E604" s="14"/>
      <c r="F604" s="703"/>
      <c r="G604" s="14"/>
      <c r="H604" s="14"/>
      <c r="I604" s="14"/>
      <c r="J604" s="14"/>
      <c r="K604" s="14"/>
      <c r="L604" s="14"/>
      <c r="M604" s="14"/>
      <c r="N604" s="703"/>
      <c r="O604" s="111"/>
      <c r="P604" s="703"/>
      <c r="Q604" s="14"/>
      <c r="R604" s="14"/>
      <c r="S604" s="14"/>
      <c r="T604" s="14"/>
      <c r="U604" s="14"/>
      <c r="V604" s="14"/>
      <c r="W604" s="14"/>
      <c r="X604" s="14"/>
      <c r="Y604" s="14"/>
      <c r="Z604" s="14"/>
      <c r="AA604" s="18"/>
      <c r="AB604" s="19"/>
      <c r="AC604" s="19"/>
      <c r="AD604" s="19"/>
      <c r="AE604" s="19"/>
      <c r="AF604" s="18"/>
      <c r="AG604" s="19"/>
      <c r="AH604" s="19"/>
      <c r="AI604" s="19"/>
      <c r="AJ604" s="19"/>
      <c r="AK604" s="18"/>
      <c r="AL604" s="19"/>
      <c r="AM604" s="19"/>
      <c r="AN604" s="19"/>
      <c r="AO604" s="19"/>
      <c r="AP604" s="18"/>
      <c r="AQ604" s="19"/>
      <c r="AR604" s="19"/>
      <c r="AS604" s="19"/>
      <c r="AT604" s="19"/>
      <c r="AU604" s="18"/>
      <c r="AV604" s="19"/>
      <c r="AW604" s="19"/>
      <c r="AX604" s="19"/>
      <c r="AY604" s="19"/>
      <c r="AZ604" s="18"/>
      <c r="BA604" s="19"/>
      <c r="BB604" s="19"/>
      <c r="BC604" s="19"/>
      <c r="BD604" s="19"/>
      <c r="BE604" s="18"/>
      <c r="BF604" s="19"/>
      <c r="BG604" s="19"/>
      <c r="BH604" s="19"/>
      <c r="BI604" s="19"/>
      <c r="BJ604" s="18"/>
      <c r="BK604" s="19"/>
      <c r="BL604" s="19"/>
      <c r="BM604" s="19"/>
      <c r="BN604" s="19"/>
      <c r="BO604" s="18"/>
      <c r="BP604" s="19"/>
      <c r="BQ604" s="19"/>
      <c r="BR604" s="19"/>
      <c r="BS604" s="19"/>
      <c r="BT604" s="18"/>
      <c r="BU604" s="19"/>
      <c r="BV604" s="19"/>
      <c r="BW604" s="19"/>
      <c r="BX604" s="19"/>
      <c r="BY604" s="18"/>
      <c r="BZ604" s="19"/>
      <c r="CA604" s="19"/>
      <c r="CB604" s="19"/>
      <c r="CC604" s="19"/>
      <c r="CD604" s="18"/>
      <c r="CE604" s="19"/>
      <c r="CF604" s="19"/>
      <c r="CG604" s="19"/>
      <c r="CH604" s="19"/>
      <c r="CI604" s="18"/>
      <c r="CJ604" s="19"/>
      <c r="CK604" s="19"/>
      <c r="CL604" s="19"/>
      <c r="CM604" s="19"/>
      <c r="CN604" s="687"/>
      <c r="CO604" s="687"/>
      <c r="CP604" s="687"/>
      <c r="CQ604" s="687"/>
      <c r="CR604" s="687"/>
      <c r="CS604" s="687"/>
      <c r="CT604" s="14"/>
    </row>
    <row r="605" spans="1:98" s="4" customFormat="1" x14ac:dyDescent="0.3">
      <c r="A605" s="14"/>
      <c r="B605" s="292"/>
      <c r="C605" s="292"/>
      <c r="D605" s="14"/>
      <c r="E605" s="14"/>
      <c r="F605" s="703"/>
      <c r="G605" s="14"/>
      <c r="H605" s="14"/>
      <c r="I605" s="14"/>
      <c r="J605" s="14"/>
      <c r="K605" s="14"/>
      <c r="L605" s="14"/>
      <c r="M605" s="14"/>
      <c r="N605" s="703"/>
      <c r="O605" s="111"/>
      <c r="P605" s="703"/>
      <c r="Q605" s="14"/>
      <c r="R605" s="14"/>
      <c r="S605" s="14"/>
      <c r="T605" s="14"/>
      <c r="U605" s="14"/>
      <c r="V605" s="14"/>
      <c r="W605" s="14"/>
      <c r="X605" s="14"/>
      <c r="Y605" s="14"/>
      <c r="Z605" s="14"/>
      <c r="AA605" s="18"/>
      <c r="AB605" s="19"/>
      <c r="AC605" s="19"/>
      <c r="AD605" s="19"/>
      <c r="AE605" s="19"/>
      <c r="AF605" s="18"/>
      <c r="AG605" s="19"/>
      <c r="AH605" s="19"/>
      <c r="AI605" s="19"/>
      <c r="AJ605" s="19"/>
      <c r="AK605" s="18"/>
      <c r="AL605" s="19"/>
      <c r="AM605" s="19"/>
      <c r="AN605" s="19"/>
      <c r="AO605" s="19"/>
      <c r="AP605" s="18"/>
      <c r="AQ605" s="19"/>
      <c r="AR605" s="19"/>
      <c r="AS605" s="19"/>
      <c r="AT605" s="19"/>
      <c r="AU605" s="18"/>
      <c r="AV605" s="19"/>
      <c r="AW605" s="19"/>
      <c r="AX605" s="19"/>
      <c r="AY605" s="19"/>
      <c r="AZ605" s="18"/>
      <c r="BA605" s="19"/>
      <c r="BB605" s="19"/>
      <c r="BC605" s="19"/>
      <c r="BD605" s="19"/>
      <c r="BE605" s="18"/>
      <c r="BF605" s="19"/>
      <c r="BG605" s="19"/>
      <c r="BH605" s="19"/>
      <c r="BI605" s="19"/>
      <c r="BJ605" s="18"/>
      <c r="BK605" s="19"/>
      <c r="BL605" s="19"/>
      <c r="BM605" s="19"/>
      <c r="BN605" s="19"/>
      <c r="BO605" s="18"/>
      <c r="BP605" s="19"/>
      <c r="BQ605" s="19"/>
      <c r="BR605" s="19"/>
      <c r="BS605" s="19"/>
      <c r="BT605" s="18"/>
      <c r="BU605" s="19"/>
      <c r="BV605" s="19"/>
      <c r="BW605" s="19"/>
      <c r="BX605" s="19"/>
      <c r="BY605" s="18"/>
      <c r="BZ605" s="19"/>
      <c r="CA605" s="19"/>
      <c r="CB605" s="19"/>
      <c r="CC605" s="19"/>
      <c r="CD605" s="18"/>
      <c r="CE605" s="19"/>
      <c r="CF605" s="19"/>
      <c r="CG605" s="19"/>
      <c r="CH605" s="19"/>
      <c r="CI605" s="18"/>
      <c r="CJ605" s="19"/>
      <c r="CK605" s="19"/>
      <c r="CL605" s="19"/>
      <c r="CM605" s="19"/>
      <c r="CN605" s="687"/>
      <c r="CO605" s="687"/>
      <c r="CP605" s="687"/>
      <c r="CQ605" s="687"/>
      <c r="CR605" s="687"/>
      <c r="CS605" s="687"/>
      <c r="CT605" s="14"/>
    </row>
    <row r="606" spans="1:98" s="4" customFormat="1" x14ac:dyDescent="0.3">
      <c r="A606" s="14"/>
      <c r="B606" s="292"/>
      <c r="C606" s="292"/>
      <c r="D606" s="14"/>
      <c r="E606" s="14"/>
      <c r="F606" s="703"/>
      <c r="G606" s="14"/>
      <c r="H606" s="14"/>
      <c r="I606" s="14"/>
      <c r="J606" s="14"/>
      <c r="K606" s="14"/>
      <c r="L606" s="14"/>
      <c r="M606" s="14"/>
      <c r="N606" s="703"/>
      <c r="O606" s="111"/>
      <c r="P606" s="703"/>
      <c r="Q606" s="14"/>
      <c r="R606" s="14"/>
      <c r="S606" s="14"/>
      <c r="T606" s="14"/>
      <c r="U606" s="14"/>
      <c r="V606" s="14"/>
      <c r="W606" s="14"/>
      <c r="X606" s="14"/>
      <c r="Y606" s="14"/>
      <c r="Z606" s="14"/>
      <c r="AA606" s="18"/>
      <c r="AB606" s="19"/>
      <c r="AC606" s="19"/>
      <c r="AD606" s="19"/>
      <c r="AE606" s="19"/>
      <c r="AF606" s="18"/>
      <c r="AG606" s="19"/>
      <c r="AH606" s="19"/>
      <c r="AI606" s="19"/>
      <c r="AJ606" s="19"/>
      <c r="AK606" s="18"/>
      <c r="AL606" s="19"/>
      <c r="AM606" s="19"/>
      <c r="AN606" s="19"/>
      <c r="AO606" s="19"/>
      <c r="AP606" s="18"/>
      <c r="AQ606" s="19"/>
      <c r="AR606" s="19"/>
      <c r="AS606" s="19"/>
      <c r="AT606" s="19"/>
      <c r="AU606" s="18"/>
      <c r="AV606" s="19"/>
      <c r="AW606" s="19"/>
      <c r="AX606" s="19"/>
      <c r="AY606" s="19"/>
      <c r="AZ606" s="18"/>
      <c r="BA606" s="19"/>
      <c r="BB606" s="19"/>
      <c r="BC606" s="19"/>
      <c r="BD606" s="19"/>
      <c r="BE606" s="18"/>
      <c r="BF606" s="19"/>
      <c r="BG606" s="19"/>
      <c r="BH606" s="19"/>
      <c r="BI606" s="19"/>
      <c r="BJ606" s="18"/>
      <c r="BK606" s="19"/>
      <c r="BL606" s="19"/>
      <c r="BM606" s="19"/>
      <c r="BN606" s="19"/>
      <c r="BO606" s="18"/>
      <c r="BP606" s="19"/>
      <c r="BQ606" s="19"/>
      <c r="BR606" s="19"/>
      <c r="BS606" s="19"/>
      <c r="BT606" s="18"/>
      <c r="BU606" s="19"/>
      <c r="BV606" s="19"/>
      <c r="BW606" s="19"/>
      <c r="BX606" s="19"/>
      <c r="BY606" s="18"/>
      <c r="BZ606" s="19"/>
      <c r="CA606" s="19"/>
      <c r="CB606" s="19"/>
      <c r="CC606" s="19"/>
      <c r="CD606" s="18"/>
      <c r="CE606" s="19"/>
      <c r="CF606" s="19"/>
      <c r="CG606" s="19"/>
      <c r="CH606" s="19"/>
      <c r="CI606" s="18"/>
      <c r="CJ606" s="19"/>
      <c r="CK606" s="19"/>
      <c r="CL606" s="19"/>
      <c r="CM606" s="19"/>
      <c r="CN606" s="687"/>
      <c r="CO606" s="687"/>
      <c r="CP606" s="687"/>
      <c r="CQ606" s="687"/>
      <c r="CR606" s="687"/>
      <c r="CS606" s="687"/>
      <c r="CT606" s="14"/>
    </row>
    <row r="607" spans="1:98" s="4" customFormat="1" x14ac:dyDescent="0.3">
      <c r="A607" s="14"/>
      <c r="B607" s="292"/>
      <c r="C607" s="292"/>
      <c r="D607" s="14"/>
      <c r="E607" s="14"/>
      <c r="F607" s="703"/>
      <c r="G607" s="14"/>
      <c r="H607" s="14"/>
      <c r="I607" s="14"/>
      <c r="J607" s="14"/>
      <c r="K607" s="14"/>
      <c r="L607" s="14"/>
      <c r="M607" s="14"/>
      <c r="N607" s="703"/>
      <c r="O607" s="111"/>
      <c r="P607" s="703"/>
      <c r="Q607" s="14"/>
      <c r="R607" s="14"/>
      <c r="S607" s="14"/>
      <c r="T607" s="14"/>
      <c r="U607" s="14"/>
      <c r="V607" s="14"/>
      <c r="W607" s="14"/>
      <c r="X607" s="14"/>
      <c r="Y607" s="14"/>
      <c r="Z607" s="14"/>
      <c r="AA607" s="18"/>
      <c r="AB607" s="19"/>
      <c r="AC607" s="19"/>
      <c r="AD607" s="19"/>
      <c r="AE607" s="19"/>
      <c r="AF607" s="18"/>
      <c r="AG607" s="19"/>
      <c r="AH607" s="19"/>
      <c r="AI607" s="19"/>
      <c r="AJ607" s="19"/>
      <c r="AK607" s="18"/>
      <c r="AL607" s="19"/>
      <c r="AM607" s="19"/>
      <c r="AN607" s="19"/>
      <c r="AO607" s="19"/>
      <c r="AP607" s="18"/>
      <c r="AQ607" s="19"/>
      <c r="AR607" s="19"/>
      <c r="AS607" s="19"/>
      <c r="AT607" s="19"/>
      <c r="AU607" s="18"/>
      <c r="AV607" s="19"/>
      <c r="AW607" s="19"/>
      <c r="AX607" s="19"/>
      <c r="AY607" s="19"/>
      <c r="AZ607" s="18"/>
      <c r="BA607" s="19"/>
      <c r="BB607" s="19"/>
      <c r="BC607" s="19"/>
      <c r="BD607" s="19"/>
      <c r="BE607" s="18"/>
      <c r="BF607" s="19"/>
      <c r="BG607" s="19"/>
      <c r="BH607" s="19"/>
      <c r="BI607" s="19"/>
      <c r="BJ607" s="18"/>
      <c r="BK607" s="19"/>
      <c r="BL607" s="19"/>
      <c r="BM607" s="19"/>
      <c r="BN607" s="19"/>
      <c r="BO607" s="18"/>
      <c r="BP607" s="19"/>
      <c r="BQ607" s="19"/>
      <c r="BR607" s="19"/>
      <c r="BS607" s="19"/>
      <c r="BT607" s="18"/>
      <c r="BU607" s="19"/>
      <c r="BV607" s="19"/>
      <c r="BW607" s="19"/>
      <c r="BX607" s="19"/>
      <c r="BY607" s="18"/>
      <c r="BZ607" s="19"/>
      <c r="CA607" s="19"/>
      <c r="CB607" s="19"/>
      <c r="CC607" s="19"/>
      <c r="CD607" s="18"/>
      <c r="CE607" s="19"/>
      <c r="CF607" s="19"/>
      <c r="CG607" s="19"/>
      <c r="CH607" s="19"/>
      <c r="CI607" s="18"/>
      <c r="CJ607" s="19"/>
      <c r="CK607" s="19"/>
      <c r="CL607" s="19"/>
      <c r="CM607" s="19"/>
      <c r="CN607" s="687"/>
      <c r="CO607" s="687"/>
      <c r="CP607" s="687"/>
      <c r="CQ607" s="687"/>
      <c r="CR607" s="687"/>
      <c r="CS607" s="687"/>
      <c r="CT607" s="14"/>
    </row>
    <row r="608" spans="1:98" s="4" customFormat="1" x14ac:dyDescent="0.3">
      <c r="A608" s="14"/>
      <c r="B608" s="292"/>
      <c r="C608" s="292"/>
      <c r="D608" s="14"/>
      <c r="E608" s="14"/>
      <c r="F608" s="293"/>
      <c r="G608" s="14"/>
      <c r="H608" s="14"/>
      <c r="I608" s="14"/>
      <c r="J608" s="14"/>
      <c r="K608" s="14"/>
      <c r="L608" s="14"/>
      <c r="M608" s="641"/>
      <c r="N608" s="590"/>
      <c r="O608" s="623"/>
      <c r="P608" s="449"/>
      <c r="Q608" s="14"/>
      <c r="R608" s="14"/>
      <c r="S608" s="14"/>
      <c r="T608" s="14"/>
      <c r="U608" s="14"/>
      <c r="V608" s="14"/>
      <c r="W608" s="14"/>
      <c r="X608" s="14"/>
      <c r="Y608" s="14"/>
      <c r="Z608" s="14"/>
      <c r="AA608" s="18"/>
      <c r="AB608" s="19"/>
      <c r="AC608" s="19"/>
      <c r="AD608" s="19"/>
      <c r="AE608" s="19"/>
      <c r="AF608" s="18"/>
      <c r="AG608" s="19"/>
      <c r="AH608" s="19"/>
      <c r="AI608" s="19"/>
      <c r="AJ608" s="19"/>
      <c r="AK608" s="18"/>
      <c r="AL608" s="19"/>
      <c r="AM608" s="19"/>
      <c r="AN608" s="19"/>
      <c r="AO608" s="19"/>
      <c r="AP608" s="18"/>
      <c r="AQ608" s="19"/>
      <c r="AR608" s="19"/>
      <c r="AS608" s="19"/>
      <c r="AT608" s="19"/>
      <c r="AU608" s="18"/>
      <c r="AV608" s="19"/>
      <c r="AW608" s="19"/>
      <c r="AX608" s="19"/>
      <c r="AY608" s="19"/>
      <c r="AZ608" s="18"/>
      <c r="BA608" s="19"/>
      <c r="BB608" s="19"/>
      <c r="BC608" s="19"/>
      <c r="BD608" s="19"/>
      <c r="BE608" s="18"/>
      <c r="BF608" s="19"/>
      <c r="BG608" s="19"/>
      <c r="BH608" s="19"/>
      <c r="BI608" s="19"/>
      <c r="BJ608" s="18"/>
      <c r="BK608" s="19"/>
      <c r="BL608" s="19"/>
      <c r="BM608" s="19"/>
      <c r="BN608" s="19"/>
      <c r="BO608" s="18"/>
      <c r="BP608" s="19"/>
      <c r="BQ608" s="19"/>
      <c r="BR608" s="19"/>
      <c r="BS608" s="19"/>
      <c r="BT608" s="18"/>
      <c r="BU608" s="19"/>
      <c r="BV608" s="19"/>
      <c r="BW608" s="19"/>
      <c r="BX608" s="19"/>
      <c r="BY608" s="18"/>
      <c r="BZ608" s="19"/>
      <c r="CA608" s="19"/>
      <c r="CB608" s="19"/>
      <c r="CC608" s="19"/>
      <c r="CD608" s="18"/>
      <c r="CE608" s="19"/>
      <c r="CF608" s="19"/>
      <c r="CG608" s="19"/>
      <c r="CH608" s="19"/>
      <c r="CI608" s="18"/>
      <c r="CJ608" s="19"/>
      <c r="CK608" s="19"/>
      <c r="CL608" s="19"/>
      <c r="CM608" s="19"/>
      <c r="CN608" s="427"/>
      <c r="CO608" s="427"/>
      <c r="CP608" s="427"/>
      <c r="CQ608" s="427"/>
      <c r="CR608" s="427"/>
      <c r="CS608" s="427"/>
      <c r="CT608" s="14"/>
    </row>
    <row r="609" spans="1:98" s="4" customFormat="1" x14ac:dyDescent="0.3">
      <c r="A609" s="14"/>
      <c r="B609" s="292"/>
      <c r="C609" s="292"/>
      <c r="D609" s="14"/>
      <c r="E609" s="14"/>
      <c r="F609" s="293"/>
      <c r="G609" s="14"/>
      <c r="H609" s="14"/>
      <c r="I609" s="14"/>
      <c r="J609" s="14"/>
      <c r="K609" s="14"/>
      <c r="L609" s="14"/>
      <c r="M609" s="641"/>
      <c r="N609" s="590"/>
      <c r="O609" s="623"/>
      <c r="P609" s="449"/>
      <c r="Q609" s="14"/>
      <c r="R609" s="14"/>
      <c r="S609" s="14"/>
      <c r="T609" s="14"/>
      <c r="U609" s="14"/>
      <c r="V609" s="14"/>
      <c r="W609" s="14"/>
      <c r="X609" s="14"/>
      <c r="Y609" s="14"/>
      <c r="Z609" s="14"/>
      <c r="AA609" s="18"/>
      <c r="AB609" s="19"/>
      <c r="AC609" s="19"/>
      <c r="AD609" s="19"/>
      <c r="AE609" s="19"/>
      <c r="AF609" s="18"/>
      <c r="AG609" s="19"/>
      <c r="AH609" s="19"/>
      <c r="AI609" s="19"/>
      <c r="AJ609" s="19"/>
      <c r="AK609" s="18"/>
      <c r="AL609" s="19"/>
      <c r="AM609" s="19"/>
      <c r="AN609" s="19"/>
      <c r="AO609" s="19"/>
      <c r="AP609" s="18"/>
      <c r="AQ609" s="19"/>
      <c r="AR609" s="19"/>
      <c r="AS609" s="19"/>
      <c r="AT609" s="19"/>
      <c r="AU609" s="18"/>
      <c r="AV609" s="19"/>
      <c r="AW609" s="19"/>
      <c r="AX609" s="19"/>
      <c r="AY609" s="19"/>
      <c r="AZ609" s="18"/>
      <c r="BA609" s="19"/>
      <c r="BB609" s="19"/>
      <c r="BC609" s="19"/>
      <c r="BD609" s="19"/>
      <c r="BE609" s="18"/>
      <c r="BF609" s="19"/>
      <c r="BG609" s="19"/>
      <c r="BH609" s="19"/>
      <c r="BI609" s="19"/>
      <c r="BJ609" s="18"/>
      <c r="BK609" s="19"/>
      <c r="BL609" s="19"/>
      <c r="BM609" s="19"/>
      <c r="BN609" s="19"/>
      <c r="BO609" s="18"/>
      <c r="BP609" s="19"/>
      <c r="BQ609" s="19"/>
      <c r="BR609" s="19"/>
      <c r="BS609" s="19"/>
      <c r="BT609" s="18"/>
      <c r="BU609" s="19"/>
      <c r="BV609" s="19"/>
      <c r="BW609" s="19"/>
      <c r="BX609" s="19"/>
      <c r="BY609" s="18"/>
      <c r="BZ609" s="19"/>
      <c r="CA609" s="19"/>
      <c r="CB609" s="19"/>
      <c r="CC609" s="19"/>
      <c r="CD609" s="18"/>
      <c r="CE609" s="19"/>
      <c r="CF609" s="19"/>
      <c r="CG609" s="19"/>
      <c r="CH609" s="19"/>
      <c r="CI609" s="18"/>
      <c r="CJ609" s="19"/>
      <c r="CK609" s="19"/>
      <c r="CL609" s="19"/>
      <c r="CM609" s="19"/>
      <c r="CN609" s="427"/>
      <c r="CO609" s="427"/>
      <c r="CP609" s="427"/>
      <c r="CQ609" s="427"/>
      <c r="CR609" s="427"/>
      <c r="CS609" s="427"/>
      <c r="CT609" s="14"/>
    </row>
    <row r="610" spans="1:98" s="4" customFormat="1" x14ac:dyDescent="0.3">
      <c r="A610" s="14"/>
      <c r="B610" s="292"/>
      <c r="C610" s="292"/>
      <c r="D610" s="14"/>
      <c r="E610" s="14"/>
      <c r="F610" s="293"/>
      <c r="G610" s="14"/>
      <c r="H610" s="14"/>
      <c r="I610" s="14"/>
      <c r="J610" s="14"/>
      <c r="K610" s="14"/>
      <c r="L610" s="14"/>
      <c r="M610" s="641"/>
      <c r="N610" s="590"/>
      <c r="O610" s="623"/>
      <c r="P610" s="449"/>
      <c r="Q610" s="14"/>
      <c r="R610" s="14"/>
      <c r="S610" s="14"/>
      <c r="T610" s="14"/>
      <c r="U610" s="14"/>
      <c r="V610" s="14"/>
      <c r="W610" s="14"/>
      <c r="X610" s="14"/>
      <c r="Y610" s="14"/>
      <c r="Z610" s="14"/>
      <c r="AA610" s="18"/>
      <c r="AB610" s="19"/>
      <c r="AC610" s="19"/>
      <c r="AD610" s="19"/>
      <c r="AE610" s="19"/>
      <c r="AF610" s="18"/>
      <c r="AG610" s="19"/>
      <c r="AH610" s="19"/>
      <c r="AI610" s="19"/>
      <c r="AJ610" s="19"/>
      <c r="AK610" s="18"/>
      <c r="AL610" s="19"/>
      <c r="AM610" s="19"/>
      <c r="AN610" s="19"/>
      <c r="AO610" s="19"/>
      <c r="AP610" s="18"/>
      <c r="AQ610" s="19"/>
      <c r="AR610" s="19"/>
      <c r="AS610" s="19"/>
      <c r="AT610" s="19"/>
      <c r="AU610" s="18"/>
      <c r="AV610" s="19"/>
      <c r="AW610" s="19"/>
      <c r="AX610" s="19"/>
      <c r="AY610" s="19"/>
      <c r="AZ610" s="18"/>
      <c r="BA610" s="19"/>
      <c r="BB610" s="19"/>
      <c r="BC610" s="19"/>
      <c r="BD610" s="19"/>
      <c r="BE610" s="18"/>
      <c r="BF610" s="19"/>
      <c r="BG610" s="19"/>
      <c r="BH610" s="19"/>
      <c r="BI610" s="19"/>
      <c r="BJ610" s="18"/>
      <c r="BK610" s="19"/>
      <c r="BL610" s="19"/>
      <c r="BM610" s="19"/>
      <c r="BN610" s="19"/>
      <c r="BO610" s="18"/>
      <c r="BP610" s="19"/>
      <c r="BQ610" s="19"/>
      <c r="BR610" s="19"/>
      <c r="BS610" s="19"/>
      <c r="BT610" s="18"/>
      <c r="BU610" s="19"/>
      <c r="BV610" s="19"/>
      <c r="BW610" s="19"/>
      <c r="BX610" s="19"/>
      <c r="BY610" s="18"/>
      <c r="BZ610" s="19"/>
      <c r="CA610" s="19"/>
      <c r="CB610" s="19"/>
      <c r="CC610" s="19"/>
      <c r="CD610" s="18"/>
      <c r="CE610" s="19"/>
      <c r="CF610" s="19"/>
      <c r="CG610" s="19"/>
      <c r="CH610" s="19"/>
      <c r="CI610" s="18"/>
      <c r="CJ610" s="19"/>
      <c r="CK610" s="19"/>
      <c r="CL610" s="19"/>
      <c r="CM610" s="19"/>
      <c r="CN610" s="427"/>
      <c r="CO610" s="427"/>
      <c r="CP610" s="427"/>
      <c r="CQ610" s="427"/>
      <c r="CR610" s="427"/>
      <c r="CS610" s="427"/>
      <c r="CT610" s="14"/>
    </row>
    <row r="611" spans="1:98" s="4" customFormat="1" x14ac:dyDescent="0.3">
      <c r="A611" s="14"/>
      <c r="B611" s="292"/>
      <c r="C611" s="292"/>
      <c r="D611" s="14"/>
      <c r="E611" s="14"/>
      <c r="F611" s="293"/>
      <c r="G611" s="14"/>
      <c r="H611" s="14"/>
      <c r="I611" s="14"/>
      <c r="J611" s="14"/>
      <c r="K611" s="14"/>
      <c r="L611" s="14"/>
      <c r="M611" s="641"/>
      <c r="N611" s="590"/>
      <c r="O611" s="623"/>
      <c r="P611" s="449"/>
      <c r="Q611" s="14"/>
      <c r="R611" s="14"/>
      <c r="S611" s="14"/>
      <c r="T611" s="14"/>
      <c r="U611" s="14"/>
      <c r="V611" s="14"/>
      <c r="W611" s="14"/>
      <c r="X611" s="14"/>
      <c r="Y611" s="14"/>
      <c r="Z611" s="14"/>
      <c r="AA611" s="18"/>
      <c r="AB611" s="19"/>
      <c r="AC611" s="19"/>
      <c r="AD611" s="19"/>
      <c r="AE611" s="19"/>
      <c r="AF611" s="18"/>
      <c r="AG611" s="19"/>
      <c r="AH611" s="19"/>
      <c r="AI611" s="19"/>
      <c r="AJ611" s="19"/>
      <c r="AK611" s="18"/>
      <c r="AL611" s="19"/>
      <c r="AM611" s="19"/>
      <c r="AN611" s="19"/>
      <c r="AO611" s="19"/>
      <c r="AP611" s="18"/>
      <c r="AQ611" s="19"/>
      <c r="AR611" s="19"/>
      <c r="AS611" s="19"/>
      <c r="AT611" s="19"/>
      <c r="AU611" s="18"/>
      <c r="AV611" s="19"/>
      <c r="AW611" s="19"/>
      <c r="AX611" s="19"/>
      <c r="AY611" s="19"/>
      <c r="AZ611" s="18"/>
      <c r="BA611" s="19"/>
      <c r="BB611" s="19"/>
      <c r="BC611" s="19"/>
      <c r="BD611" s="19"/>
      <c r="BE611" s="18"/>
      <c r="BF611" s="19"/>
      <c r="BG611" s="19"/>
      <c r="BH611" s="19"/>
      <c r="BI611" s="19"/>
      <c r="BJ611" s="18"/>
      <c r="BK611" s="19"/>
      <c r="BL611" s="19"/>
      <c r="BM611" s="19"/>
      <c r="BN611" s="19"/>
      <c r="BO611" s="18"/>
      <c r="BP611" s="19"/>
      <c r="BQ611" s="19"/>
      <c r="BR611" s="19"/>
      <c r="BS611" s="19"/>
      <c r="BT611" s="18"/>
      <c r="BU611" s="19"/>
      <c r="BV611" s="19"/>
      <c r="BW611" s="19"/>
      <c r="BX611" s="19"/>
      <c r="BY611" s="18"/>
      <c r="BZ611" s="19"/>
      <c r="CA611" s="19"/>
      <c r="CB611" s="19"/>
      <c r="CC611" s="19"/>
      <c r="CD611" s="18"/>
      <c r="CE611" s="19"/>
      <c r="CF611" s="19"/>
      <c r="CG611" s="19"/>
      <c r="CH611" s="19"/>
      <c r="CI611" s="18"/>
      <c r="CJ611" s="19"/>
      <c r="CK611" s="19"/>
      <c r="CL611" s="19"/>
      <c r="CM611" s="19"/>
      <c r="CN611" s="427"/>
      <c r="CO611" s="427"/>
      <c r="CP611" s="427"/>
      <c r="CQ611" s="427"/>
      <c r="CR611" s="427"/>
      <c r="CS611" s="427"/>
      <c r="CT611" s="14"/>
    </row>
    <row r="612" spans="1:98" s="4" customFormat="1" x14ac:dyDescent="0.3">
      <c r="A612" s="14"/>
      <c r="B612" s="292"/>
      <c r="C612" s="292"/>
      <c r="D612" s="14"/>
      <c r="E612" s="14"/>
      <c r="F612" s="293"/>
      <c r="G612" s="14"/>
      <c r="H612" s="14"/>
      <c r="I612" s="14"/>
      <c r="J612" s="14"/>
      <c r="K612" s="14"/>
      <c r="L612" s="14"/>
      <c r="M612" s="641"/>
      <c r="N612" s="590"/>
      <c r="O612" s="623"/>
      <c r="P612" s="449"/>
      <c r="Q612" s="14"/>
      <c r="R612" s="14"/>
      <c r="S612" s="14"/>
      <c r="T612" s="14"/>
      <c r="U612" s="14"/>
      <c r="V612" s="14"/>
      <c r="W612" s="14"/>
      <c r="X612" s="14"/>
      <c r="Y612" s="14"/>
      <c r="Z612" s="14"/>
      <c r="AA612" s="18"/>
      <c r="AB612" s="19"/>
      <c r="AC612" s="19"/>
      <c r="AD612" s="19"/>
      <c r="AE612" s="19"/>
      <c r="AF612" s="18"/>
      <c r="AG612" s="19"/>
      <c r="AH612" s="19"/>
      <c r="AI612" s="19"/>
      <c r="AJ612" s="19"/>
      <c r="AK612" s="18"/>
      <c r="AL612" s="19"/>
      <c r="AM612" s="19"/>
      <c r="AN612" s="19"/>
      <c r="AO612" s="19"/>
      <c r="AP612" s="18"/>
      <c r="AQ612" s="19"/>
      <c r="AR612" s="19"/>
      <c r="AS612" s="19"/>
      <c r="AT612" s="19"/>
      <c r="AU612" s="18"/>
      <c r="AV612" s="19"/>
      <c r="AW612" s="19"/>
      <c r="AX612" s="19"/>
      <c r="AY612" s="19"/>
      <c r="AZ612" s="18"/>
      <c r="BA612" s="19"/>
      <c r="BB612" s="19"/>
      <c r="BC612" s="19"/>
      <c r="BD612" s="19"/>
      <c r="BE612" s="18"/>
      <c r="BF612" s="19"/>
      <c r="BG612" s="19"/>
      <c r="BH612" s="19"/>
      <c r="BI612" s="19"/>
      <c r="BJ612" s="18"/>
      <c r="BK612" s="19"/>
      <c r="BL612" s="19"/>
      <c r="BM612" s="19"/>
      <c r="BN612" s="19"/>
      <c r="BO612" s="18"/>
      <c r="BP612" s="19"/>
      <c r="BQ612" s="19"/>
      <c r="BR612" s="19"/>
      <c r="BS612" s="19"/>
      <c r="BT612" s="18"/>
      <c r="BU612" s="19"/>
      <c r="BV612" s="19"/>
      <c r="BW612" s="19"/>
      <c r="BX612" s="19"/>
      <c r="BY612" s="18"/>
      <c r="BZ612" s="19"/>
      <c r="CA612" s="19"/>
      <c r="CB612" s="19"/>
      <c r="CC612" s="19"/>
      <c r="CD612" s="18"/>
      <c r="CE612" s="19"/>
      <c r="CF612" s="19"/>
      <c r="CG612" s="19"/>
      <c r="CH612" s="19"/>
      <c r="CI612" s="18"/>
      <c r="CJ612" s="19"/>
      <c r="CK612" s="19"/>
      <c r="CL612" s="19"/>
      <c r="CM612" s="19"/>
      <c r="CN612" s="427"/>
      <c r="CO612" s="427"/>
      <c r="CP612" s="427"/>
      <c r="CQ612" s="427"/>
      <c r="CR612" s="427"/>
      <c r="CS612" s="427"/>
      <c r="CT612" s="14"/>
    </row>
    <row r="613" spans="1:98" s="4" customFormat="1" x14ac:dyDescent="0.3">
      <c r="A613" s="14"/>
      <c r="B613" s="292"/>
      <c r="C613" s="292"/>
      <c r="D613" s="14"/>
      <c r="E613" s="14"/>
      <c r="F613" s="293"/>
      <c r="G613" s="14"/>
      <c r="H613" s="14"/>
      <c r="I613" s="14"/>
      <c r="J613" s="14"/>
      <c r="K613" s="14"/>
      <c r="L613" s="14"/>
      <c r="M613" s="641"/>
      <c r="N613" s="590"/>
      <c r="O613" s="623"/>
      <c r="P613" s="449"/>
      <c r="Q613" s="14"/>
      <c r="R613" s="14"/>
      <c r="S613" s="14"/>
      <c r="T613" s="14"/>
      <c r="U613" s="14"/>
      <c r="V613" s="14"/>
      <c r="W613" s="14"/>
      <c r="X613" s="14"/>
      <c r="Y613" s="14"/>
      <c r="Z613" s="14"/>
      <c r="AA613" s="18"/>
      <c r="AB613" s="19"/>
      <c r="AC613" s="19"/>
      <c r="AD613" s="19"/>
      <c r="AE613" s="19"/>
      <c r="AF613" s="18"/>
      <c r="AG613" s="19"/>
      <c r="AH613" s="19"/>
      <c r="AI613" s="19"/>
      <c r="AJ613" s="19"/>
      <c r="AK613" s="18"/>
      <c r="AL613" s="19"/>
      <c r="AM613" s="19"/>
      <c r="AN613" s="19"/>
      <c r="AO613" s="19"/>
      <c r="AP613" s="18"/>
      <c r="AQ613" s="19"/>
      <c r="AR613" s="19"/>
      <c r="AS613" s="19"/>
      <c r="AT613" s="19"/>
      <c r="AU613" s="18"/>
      <c r="AV613" s="19"/>
      <c r="AW613" s="19"/>
      <c r="AX613" s="19"/>
      <c r="AY613" s="19"/>
      <c r="AZ613" s="18"/>
      <c r="BA613" s="19"/>
      <c r="BB613" s="19"/>
      <c r="BC613" s="19"/>
      <c r="BD613" s="19"/>
      <c r="BE613" s="18"/>
      <c r="BF613" s="19"/>
      <c r="BG613" s="19"/>
      <c r="BH613" s="19"/>
      <c r="BI613" s="19"/>
      <c r="BJ613" s="18"/>
      <c r="BK613" s="19"/>
      <c r="BL613" s="19"/>
      <c r="BM613" s="19"/>
      <c r="BN613" s="19"/>
      <c r="BO613" s="18"/>
      <c r="BP613" s="19"/>
      <c r="BQ613" s="19"/>
      <c r="BR613" s="19"/>
      <c r="BS613" s="19"/>
      <c r="BT613" s="18"/>
      <c r="BU613" s="19"/>
      <c r="BV613" s="19"/>
      <c r="BW613" s="19"/>
      <c r="BX613" s="19"/>
      <c r="BY613" s="18"/>
      <c r="BZ613" s="19"/>
      <c r="CA613" s="19"/>
      <c r="CB613" s="19"/>
      <c r="CC613" s="19"/>
      <c r="CD613" s="18"/>
      <c r="CE613" s="19"/>
      <c r="CF613" s="19"/>
      <c r="CG613" s="19"/>
      <c r="CH613" s="19"/>
      <c r="CI613" s="18"/>
      <c r="CJ613" s="19"/>
      <c r="CK613" s="19"/>
      <c r="CL613" s="19"/>
      <c r="CM613" s="19"/>
      <c r="CN613" s="427"/>
      <c r="CO613" s="427"/>
      <c r="CP613" s="427"/>
      <c r="CQ613" s="427"/>
      <c r="CR613" s="427"/>
      <c r="CS613" s="427"/>
      <c r="CT613" s="14"/>
    </row>
    <row r="614" spans="1:98" s="4" customFormat="1" x14ac:dyDescent="0.3">
      <c r="A614" s="14"/>
      <c r="B614" s="292"/>
      <c r="C614" s="292"/>
      <c r="D614" s="14"/>
      <c r="E614" s="14"/>
      <c r="F614" s="293"/>
      <c r="G614" s="14"/>
      <c r="H614" s="14"/>
      <c r="I614" s="14"/>
      <c r="J614" s="14"/>
      <c r="K614" s="14"/>
      <c r="L614" s="14"/>
      <c r="M614" s="641"/>
      <c r="N614" s="590"/>
      <c r="O614" s="623"/>
      <c r="P614" s="449"/>
      <c r="Q614" s="14"/>
      <c r="R614" s="14"/>
      <c r="S614" s="14"/>
      <c r="T614" s="14"/>
      <c r="U614" s="14"/>
      <c r="V614" s="14"/>
      <c r="W614" s="14"/>
      <c r="X614" s="14"/>
      <c r="Y614" s="14"/>
      <c r="Z614" s="14"/>
      <c r="AA614" s="18"/>
      <c r="AB614" s="19"/>
      <c r="AC614" s="19"/>
      <c r="AD614" s="19"/>
      <c r="AE614" s="19"/>
      <c r="AF614" s="18"/>
      <c r="AG614" s="19"/>
      <c r="AH614" s="19"/>
      <c r="AI614" s="19"/>
      <c r="AJ614" s="19"/>
      <c r="AK614" s="18"/>
      <c r="AL614" s="19"/>
      <c r="AM614" s="19"/>
      <c r="AN614" s="19"/>
      <c r="AO614" s="19"/>
      <c r="AP614" s="18"/>
      <c r="AQ614" s="19"/>
      <c r="AR614" s="19"/>
      <c r="AS614" s="19"/>
      <c r="AT614" s="19"/>
      <c r="AU614" s="18"/>
      <c r="AV614" s="19"/>
      <c r="AW614" s="19"/>
      <c r="AX614" s="19"/>
      <c r="AY614" s="19"/>
      <c r="AZ614" s="18"/>
      <c r="BA614" s="19"/>
      <c r="BB614" s="19"/>
      <c r="BC614" s="19"/>
      <c r="BD614" s="19"/>
      <c r="BE614" s="18"/>
      <c r="BF614" s="19"/>
      <c r="BG614" s="19"/>
      <c r="BH614" s="19"/>
      <c r="BI614" s="19"/>
      <c r="BJ614" s="18"/>
      <c r="BK614" s="19"/>
      <c r="BL614" s="19"/>
      <c r="BM614" s="19"/>
      <c r="BN614" s="19"/>
      <c r="BO614" s="18"/>
      <c r="BP614" s="19"/>
      <c r="BQ614" s="19"/>
      <c r="BR614" s="19"/>
      <c r="BS614" s="19"/>
      <c r="BT614" s="18"/>
      <c r="BU614" s="19"/>
      <c r="BV614" s="19"/>
      <c r="BW614" s="19"/>
      <c r="BX614" s="19"/>
      <c r="BY614" s="18"/>
      <c r="BZ614" s="19"/>
      <c r="CA614" s="19"/>
      <c r="CB614" s="19"/>
      <c r="CC614" s="19"/>
      <c r="CD614" s="18"/>
      <c r="CE614" s="19"/>
      <c r="CF614" s="19"/>
      <c r="CG614" s="19"/>
      <c r="CH614" s="19"/>
      <c r="CI614" s="18"/>
      <c r="CJ614" s="19"/>
      <c r="CK614" s="19"/>
      <c r="CL614" s="19"/>
      <c r="CM614" s="19"/>
      <c r="CN614" s="427"/>
      <c r="CO614" s="427"/>
      <c r="CP614" s="427"/>
      <c r="CQ614" s="427"/>
      <c r="CR614" s="427"/>
      <c r="CS614" s="427"/>
      <c r="CT614" s="14"/>
    </row>
    <row r="615" spans="1:98" s="4" customFormat="1" x14ac:dyDescent="0.3">
      <c r="A615" s="14"/>
      <c r="B615" s="292"/>
      <c r="C615" s="292"/>
      <c r="D615" s="14"/>
      <c r="E615" s="14"/>
      <c r="F615" s="293"/>
      <c r="G615" s="14"/>
      <c r="H615" s="14"/>
      <c r="I615" s="14"/>
      <c r="J615" s="14"/>
      <c r="K615" s="14"/>
      <c r="L615" s="14"/>
      <c r="M615" s="641"/>
      <c r="N615" s="590"/>
      <c r="O615" s="623"/>
      <c r="P615" s="449"/>
      <c r="Q615" s="14"/>
      <c r="R615" s="14"/>
      <c r="S615" s="14"/>
      <c r="T615" s="14"/>
      <c r="U615" s="14"/>
      <c r="V615" s="14"/>
      <c r="W615" s="14"/>
      <c r="X615" s="14"/>
      <c r="Y615" s="14"/>
      <c r="Z615" s="14"/>
      <c r="AA615" s="18"/>
      <c r="AB615" s="19"/>
      <c r="AC615" s="19"/>
      <c r="AD615" s="19"/>
      <c r="AE615" s="19"/>
      <c r="AF615" s="18"/>
      <c r="AG615" s="19"/>
      <c r="AH615" s="19"/>
      <c r="AI615" s="19"/>
      <c r="AJ615" s="19"/>
      <c r="AK615" s="18"/>
      <c r="AL615" s="19"/>
      <c r="AM615" s="19"/>
      <c r="AN615" s="19"/>
      <c r="AO615" s="19"/>
      <c r="AP615" s="18"/>
      <c r="AQ615" s="19"/>
      <c r="AR615" s="19"/>
      <c r="AS615" s="19"/>
      <c r="AT615" s="19"/>
      <c r="AU615" s="18"/>
      <c r="AV615" s="19"/>
      <c r="AW615" s="19"/>
      <c r="AX615" s="19"/>
      <c r="AY615" s="19"/>
      <c r="AZ615" s="18"/>
      <c r="BA615" s="19"/>
      <c r="BB615" s="19"/>
      <c r="BC615" s="19"/>
      <c r="BD615" s="19"/>
      <c r="BE615" s="18"/>
      <c r="BF615" s="19"/>
      <c r="BG615" s="19"/>
      <c r="BH615" s="19"/>
      <c r="BI615" s="19"/>
      <c r="BJ615" s="18"/>
      <c r="BK615" s="19"/>
      <c r="BL615" s="19"/>
      <c r="BM615" s="19"/>
      <c r="BN615" s="19"/>
      <c r="BO615" s="18"/>
      <c r="BP615" s="19"/>
      <c r="BQ615" s="19"/>
      <c r="BR615" s="19"/>
      <c r="BS615" s="19"/>
      <c r="BT615" s="18"/>
      <c r="BU615" s="19"/>
      <c r="BV615" s="19"/>
      <c r="BW615" s="19"/>
      <c r="BX615" s="19"/>
      <c r="BY615" s="18"/>
      <c r="BZ615" s="19"/>
      <c r="CA615" s="19"/>
      <c r="CB615" s="19"/>
      <c r="CC615" s="19"/>
      <c r="CD615" s="18"/>
      <c r="CE615" s="19"/>
      <c r="CF615" s="19"/>
      <c r="CG615" s="19"/>
      <c r="CH615" s="19"/>
      <c r="CI615" s="18"/>
      <c r="CJ615" s="19"/>
      <c r="CK615" s="19"/>
      <c r="CL615" s="19"/>
      <c r="CM615" s="19"/>
      <c r="CN615" s="427"/>
      <c r="CO615" s="427"/>
      <c r="CP615" s="427"/>
      <c r="CQ615" s="427"/>
      <c r="CR615" s="427"/>
      <c r="CS615" s="427"/>
      <c r="CT615" s="14"/>
    </row>
    <row r="616" spans="1:98" s="4" customFormat="1" x14ac:dyDescent="0.3">
      <c r="A616" s="14"/>
      <c r="B616" s="292"/>
      <c r="C616" s="292"/>
      <c r="D616" s="14"/>
      <c r="E616" s="14"/>
      <c r="F616" s="293"/>
      <c r="G616" s="14"/>
      <c r="H616" s="14"/>
      <c r="I616" s="14"/>
      <c r="J616" s="14"/>
      <c r="K616" s="14"/>
      <c r="L616" s="14"/>
      <c r="M616" s="641"/>
      <c r="N616" s="590"/>
      <c r="O616" s="623"/>
      <c r="P616" s="449"/>
      <c r="Q616" s="14"/>
      <c r="R616" s="14"/>
      <c r="S616" s="14"/>
      <c r="T616" s="14"/>
      <c r="U616" s="14"/>
      <c r="V616" s="14"/>
      <c r="W616" s="14"/>
      <c r="X616" s="14"/>
      <c r="Y616" s="14"/>
      <c r="Z616" s="14"/>
      <c r="AA616" s="18"/>
      <c r="AB616" s="19"/>
      <c r="AC616" s="19"/>
      <c r="AD616" s="19"/>
      <c r="AE616" s="19"/>
      <c r="AF616" s="18"/>
      <c r="AG616" s="19"/>
      <c r="AH616" s="19"/>
      <c r="AI616" s="19"/>
      <c r="AJ616" s="19"/>
      <c r="AK616" s="18"/>
      <c r="AL616" s="19"/>
      <c r="AM616" s="19"/>
      <c r="AN616" s="19"/>
      <c r="AO616" s="19"/>
      <c r="AP616" s="18"/>
      <c r="AQ616" s="19"/>
      <c r="AR616" s="19"/>
      <c r="AS616" s="19"/>
      <c r="AT616" s="19"/>
      <c r="AU616" s="18"/>
      <c r="AV616" s="19"/>
      <c r="AW616" s="19"/>
      <c r="AX616" s="19"/>
      <c r="AY616" s="19"/>
      <c r="AZ616" s="18"/>
      <c r="BA616" s="19"/>
      <c r="BB616" s="19"/>
      <c r="BC616" s="19"/>
      <c r="BD616" s="19"/>
      <c r="BE616" s="18"/>
      <c r="BF616" s="19"/>
      <c r="BG616" s="19"/>
      <c r="BH616" s="19"/>
      <c r="BI616" s="19"/>
      <c r="BJ616" s="18"/>
      <c r="BK616" s="19"/>
      <c r="BL616" s="19"/>
      <c r="BM616" s="19"/>
      <c r="BN616" s="19"/>
      <c r="BO616" s="18"/>
      <c r="BP616" s="19"/>
      <c r="BQ616" s="19"/>
      <c r="BR616" s="19"/>
      <c r="BS616" s="19"/>
      <c r="BT616" s="18"/>
      <c r="BU616" s="19"/>
      <c r="BV616" s="19"/>
      <c r="BW616" s="19"/>
      <c r="BX616" s="19"/>
      <c r="BY616" s="18"/>
      <c r="BZ616" s="19"/>
      <c r="CA616" s="19"/>
      <c r="CB616" s="19"/>
      <c r="CC616" s="19"/>
      <c r="CD616" s="18"/>
      <c r="CE616" s="19"/>
      <c r="CF616" s="19"/>
      <c r="CG616" s="19"/>
      <c r="CH616" s="19"/>
      <c r="CI616" s="18"/>
      <c r="CJ616" s="19"/>
      <c r="CK616" s="19"/>
      <c r="CL616" s="19"/>
      <c r="CM616" s="19"/>
      <c r="CN616" s="427"/>
      <c r="CO616" s="427"/>
      <c r="CP616" s="427"/>
      <c r="CQ616" s="427"/>
      <c r="CR616" s="427"/>
      <c r="CS616" s="427"/>
      <c r="CT616" s="14"/>
    </row>
    <row r="617" spans="1:98" s="4" customFormat="1" x14ac:dyDescent="0.3">
      <c r="A617" s="14"/>
      <c r="B617" s="292"/>
      <c r="C617" s="292"/>
      <c r="D617" s="14"/>
      <c r="E617" s="14"/>
      <c r="F617" s="293"/>
      <c r="G617" s="14"/>
      <c r="H617" s="14"/>
      <c r="I617" s="14"/>
      <c r="J617" s="14"/>
      <c r="K617" s="14"/>
      <c r="L617" s="14"/>
      <c r="M617" s="641"/>
      <c r="N617" s="590"/>
      <c r="O617" s="623"/>
      <c r="P617" s="449"/>
      <c r="Q617" s="14"/>
      <c r="R617" s="14"/>
      <c r="S617" s="14"/>
      <c r="T617" s="14"/>
      <c r="U617" s="14"/>
      <c r="V617" s="14"/>
      <c r="W617" s="14"/>
      <c r="X617" s="14"/>
      <c r="Y617" s="14"/>
      <c r="Z617" s="14"/>
      <c r="AA617" s="18"/>
      <c r="AB617" s="19"/>
      <c r="AC617" s="19"/>
      <c r="AD617" s="19"/>
      <c r="AE617" s="19"/>
      <c r="AF617" s="18"/>
      <c r="AG617" s="19"/>
      <c r="AH617" s="19"/>
      <c r="AI617" s="19"/>
      <c r="AJ617" s="19"/>
      <c r="AK617" s="18"/>
      <c r="AL617" s="19"/>
      <c r="AM617" s="19"/>
      <c r="AN617" s="19"/>
      <c r="AO617" s="19"/>
      <c r="AP617" s="18"/>
      <c r="AQ617" s="19"/>
      <c r="AR617" s="19"/>
      <c r="AS617" s="19"/>
      <c r="AT617" s="19"/>
      <c r="AU617" s="18"/>
      <c r="AV617" s="19"/>
      <c r="AW617" s="19"/>
      <c r="AX617" s="19"/>
      <c r="AY617" s="19"/>
      <c r="AZ617" s="18"/>
      <c r="BA617" s="19"/>
      <c r="BB617" s="19"/>
      <c r="BC617" s="19"/>
      <c r="BD617" s="19"/>
      <c r="BE617" s="18"/>
      <c r="BF617" s="19"/>
      <c r="BG617" s="19"/>
      <c r="BH617" s="19"/>
      <c r="BI617" s="19"/>
      <c r="BJ617" s="18"/>
      <c r="BK617" s="19"/>
      <c r="BL617" s="19"/>
      <c r="BM617" s="19"/>
      <c r="BN617" s="19"/>
      <c r="BO617" s="18"/>
      <c r="BP617" s="19"/>
      <c r="BQ617" s="19"/>
      <c r="BR617" s="19"/>
      <c r="BS617" s="19"/>
      <c r="BT617" s="18"/>
      <c r="BU617" s="19"/>
      <c r="BV617" s="19"/>
      <c r="BW617" s="19"/>
      <c r="BX617" s="19"/>
      <c r="BY617" s="18"/>
      <c r="BZ617" s="19"/>
      <c r="CA617" s="19"/>
      <c r="CB617" s="19"/>
      <c r="CC617" s="19"/>
      <c r="CD617" s="18"/>
      <c r="CE617" s="19"/>
      <c r="CF617" s="19"/>
      <c r="CG617" s="19"/>
      <c r="CH617" s="19"/>
      <c r="CI617" s="18"/>
      <c r="CJ617" s="19"/>
      <c r="CK617" s="19"/>
      <c r="CL617" s="19"/>
      <c r="CM617" s="19"/>
      <c r="CN617" s="427"/>
      <c r="CO617" s="427"/>
      <c r="CP617" s="427"/>
      <c r="CQ617" s="427"/>
      <c r="CR617" s="427"/>
      <c r="CS617" s="427"/>
      <c r="CT617" s="14"/>
    </row>
    <row r="618" spans="1:98" s="4" customFormat="1" x14ac:dyDescent="0.3">
      <c r="A618" s="14"/>
      <c r="B618" s="292"/>
      <c r="C618" s="292"/>
      <c r="D618" s="14"/>
      <c r="E618" s="14"/>
      <c r="F618" s="293"/>
      <c r="G618" s="14"/>
      <c r="H618" s="14"/>
      <c r="I618" s="14"/>
      <c r="J618" s="14"/>
      <c r="K618" s="14"/>
      <c r="L618" s="14"/>
      <c r="M618" s="641"/>
      <c r="N618" s="590"/>
      <c r="O618" s="623"/>
      <c r="P618" s="449"/>
      <c r="Q618" s="14"/>
      <c r="R618" s="14"/>
      <c r="S618" s="14"/>
      <c r="T618" s="14"/>
      <c r="U618" s="14"/>
      <c r="V618" s="14"/>
      <c r="W618" s="14"/>
      <c r="X618" s="14"/>
      <c r="Y618" s="14"/>
      <c r="Z618" s="14"/>
      <c r="AA618" s="18"/>
      <c r="AB618" s="19"/>
      <c r="AC618" s="19"/>
      <c r="AD618" s="19"/>
      <c r="AE618" s="19"/>
      <c r="AF618" s="18"/>
      <c r="AG618" s="19"/>
      <c r="AH618" s="19"/>
      <c r="AI618" s="19"/>
      <c r="AJ618" s="19"/>
      <c r="AK618" s="18"/>
      <c r="AL618" s="19"/>
      <c r="AM618" s="19"/>
      <c r="AN618" s="19"/>
      <c r="AO618" s="19"/>
      <c r="AP618" s="18"/>
      <c r="AQ618" s="19"/>
      <c r="AR618" s="19"/>
      <c r="AS618" s="19"/>
      <c r="AT618" s="19"/>
      <c r="AU618" s="18"/>
      <c r="AV618" s="19"/>
      <c r="AW618" s="19"/>
      <c r="AX618" s="19"/>
      <c r="AY618" s="19"/>
      <c r="AZ618" s="18"/>
      <c r="BA618" s="19"/>
      <c r="BB618" s="19"/>
      <c r="BC618" s="19"/>
      <c r="BD618" s="19"/>
      <c r="BE618" s="18"/>
      <c r="BF618" s="19"/>
      <c r="BG618" s="19"/>
      <c r="BH618" s="19"/>
      <c r="BI618" s="19"/>
      <c r="BJ618" s="18"/>
      <c r="BK618" s="19"/>
      <c r="BL618" s="19"/>
      <c r="BM618" s="19"/>
      <c r="BN618" s="19"/>
      <c r="BO618" s="18"/>
      <c r="BP618" s="19"/>
      <c r="BQ618" s="19"/>
      <c r="BR618" s="19"/>
      <c r="BS618" s="19"/>
      <c r="BT618" s="18"/>
      <c r="BU618" s="19"/>
      <c r="BV618" s="19"/>
      <c r="BW618" s="19"/>
      <c r="BX618" s="19"/>
      <c r="BY618" s="18"/>
      <c r="BZ618" s="19"/>
      <c r="CA618" s="19"/>
      <c r="CB618" s="19"/>
      <c r="CC618" s="19"/>
      <c r="CD618" s="18"/>
      <c r="CE618" s="19"/>
      <c r="CF618" s="19"/>
      <c r="CG618" s="19"/>
      <c r="CH618" s="19"/>
      <c r="CI618" s="18"/>
      <c r="CJ618" s="19"/>
      <c r="CK618" s="19"/>
      <c r="CL618" s="19"/>
      <c r="CM618" s="19"/>
      <c r="CN618" s="427"/>
      <c r="CO618" s="427"/>
      <c r="CP618" s="427"/>
      <c r="CQ618" s="427"/>
      <c r="CR618" s="427"/>
      <c r="CS618" s="427"/>
      <c r="CT618" s="14"/>
    </row>
    <row r="619" spans="1:98" s="4" customFormat="1" x14ac:dyDescent="0.3">
      <c r="A619" s="14"/>
      <c r="B619" s="292"/>
      <c r="C619" s="292"/>
      <c r="D619" s="14"/>
      <c r="E619" s="14"/>
      <c r="F619" s="293"/>
      <c r="G619" s="14"/>
      <c r="H619" s="14"/>
      <c r="I619" s="14"/>
      <c r="J619" s="14"/>
      <c r="K619" s="14"/>
      <c r="L619" s="14"/>
      <c r="M619" s="641"/>
      <c r="N619" s="590"/>
      <c r="O619" s="623"/>
      <c r="P619" s="449"/>
      <c r="Q619" s="14"/>
      <c r="R619" s="14"/>
      <c r="S619" s="14"/>
      <c r="T619" s="14"/>
      <c r="U619" s="14"/>
      <c r="V619" s="14"/>
      <c r="W619" s="14"/>
      <c r="X619" s="14"/>
      <c r="Y619" s="14"/>
      <c r="Z619" s="14"/>
      <c r="AA619" s="18"/>
      <c r="AB619" s="19"/>
      <c r="AC619" s="19"/>
      <c r="AD619" s="19"/>
      <c r="AE619" s="19"/>
      <c r="AF619" s="18"/>
      <c r="AG619" s="19"/>
      <c r="AH619" s="19"/>
      <c r="AI619" s="19"/>
      <c r="AJ619" s="19"/>
      <c r="AK619" s="18"/>
      <c r="AL619" s="19"/>
      <c r="AM619" s="19"/>
      <c r="AN619" s="19"/>
      <c r="AO619" s="19"/>
      <c r="AP619" s="18"/>
      <c r="AQ619" s="19"/>
      <c r="AR619" s="19"/>
      <c r="AS619" s="19"/>
      <c r="AT619" s="19"/>
      <c r="AU619" s="18"/>
      <c r="AV619" s="19"/>
      <c r="AW619" s="19"/>
      <c r="AX619" s="19"/>
      <c r="AY619" s="19"/>
      <c r="AZ619" s="18"/>
      <c r="BA619" s="19"/>
      <c r="BB619" s="19"/>
      <c r="BC619" s="19"/>
      <c r="BD619" s="19"/>
      <c r="BE619" s="18"/>
      <c r="BF619" s="19"/>
      <c r="BG619" s="19"/>
      <c r="BH619" s="19"/>
      <c r="BI619" s="19"/>
      <c r="BJ619" s="18"/>
      <c r="BK619" s="19"/>
      <c r="BL619" s="19"/>
      <c r="BM619" s="19"/>
      <c r="BN619" s="19"/>
      <c r="BO619" s="18"/>
      <c r="BP619" s="19"/>
      <c r="BQ619" s="19"/>
      <c r="BR619" s="19"/>
      <c r="BS619" s="19"/>
      <c r="BT619" s="18"/>
      <c r="BU619" s="19"/>
      <c r="BV619" s="19"/>
      <c r="BW619" s="19"/>
      <c r="BX619" s="19"/>
      <c r="BY619" s="18"/>
      <c r="BZ619" s="19"/>
      <c r="CA619" s="19"/>
      <c r="CB619" s="19"/>
      <c r="CC619" s="19"/>
      <c r="CD619" s="18"/>
      <c r="CE619" s="19"/>
      <c r="CF619" s="19"/>
      <c r="CG619" s="19"/>
      <c r="CH619" s="19"/>
      <c r="CI619" s="18"/>
      <c r="CJ619" s="19"/>
      <c r="CK619" s="19"/>
      <c r="CL619" s="19"/>
      <c r="CM619" s="19"/>
      <c r="CN619" s="427"/>
      <c r="CO619" s="427"/>
      <c r="CP619" s="427"/>
      <c r="CQ619" s="427"/>
      <c r="CR619" s="427"/>
      <c r="CS619" s="427"/>
      <c r="CT619" s="14"/>
    </row>
    <row r="620" spans="1:98" s="4" customFormat="1" x14ac:dyDescent="0.3">
      <c r="A620" s="14"/>
      <c r="B620" s="292"/>
      <c r="C620" s="292"/>
      <c r="D620" s="14"/>
      <c r="E620" s="14"/>
      <c r="F620" s="293"/>
      <c r="G620" s="14"/>
      <c r="H620" s="14"/>
      <c r="I620" s="14"/>
      <c r="J620" s="14"/>
      <c r="K620" s="14"/>
      <c r="L620" s="14"/>
      <c r="M620" s="641"/>
      <c r="N620" s="590"/>
      <c r="O620" s="623"/>
      <c r="P620" s="449"/>
      <c r="Q620" s="14"/>
      <c r="R620" s="14"/>
      <c r="S620" s="14"/>
      <c r="T620" s="14"/>
      <c r="U620" s="14"/>
      <c r="V620" s="14"/>
      <c r="W620" s="14"/>
      <c r="X620" s="14"/>
      <c r="Y620" s="14"/>
      <c r="Z620" s="14"/>
      <c r="AA620" s="18"/>
      <c r="AB620" s="19"/>
      <c r="AC620" s="19"/>
      <c r="AD620" s="19"/>
      <c r="AE620" s="19"/>
      <c r="AF620" s="18"/>
      <c r="AG620" s="19"/>
      <c r="AH620" s="19"/>
      <c r="AI620" s="19"/>
      <c r="AJ620" s="19"/>
      <c r="AK620" s="18"/>
      <c r="AL620" s="19"/>
      <c r="AM620" s="19"/>
      <c r="AN620" s="19"/>
      <c r="AO620" s="19"/>
      <c r="AP620" s="18"/>
      <c r="AQ620" s="19"/>
      <c r="AR620" s="19"/>
      <c r="AS620" s="19"/>
      <c r="AT620" s="19"/>
      <c r="AU620" s="18"/>
      <c r="AV620" s="19"/>
      <c r="AW620" s="19"/>
      <c r="AX620" s="19"/>
      <c r="AY620" s="19"/>
      <c r="AZ620" s="18"/>
      <c r="BA620" s="19"/>
      <c r="BB620" s="19"/>
      <c r="BC620" s="19"/>
      <c r="BD620" s="19"/>
      <c r="BE620" s="18"/>
      <c r="BF620" s="19"/>
      <c r="BG620" s="19"/>
      <c r="BH620" s="19"/>
      <c r="BI620" s="19"/>
      <c r="BJ620" s="18"/>
      <c r="BK620" s="19"/>
      <c r="BL620" s="19"/>
      <c r="BM620" s="19"/>
      <c r="BN620" s="19"/>
      <c r="BO620" s="18"/>
      <c r="BP620" s="19"/>
      <c r="BQ620" s="19"/>
      <c r="BR620" s="19"/>
      <c r="BS620" s="19"/>
      <c r="BT620" s="18"/>
      <c r="BU620" s="19"/>
      <c r="BV620" s="19"/>
      <c r="BW620" s="19"/>
      <c r="BX620" s="19"/>
      <c r="BY620" s="18"/>
      <c r="BZ620" s="19"/>
      <c r="CA620" s="19"/>
      <c r="CB620" s="19"/>
      <c r="CC620" s="19"/>
      <c r="CD620" s="18"/>
      <c r="CE620" s="19"/>
      <c r="CF620" s="19"/>
      <c r="CG620" s="19"/>
      <c r="CH620" s="19"/>
      <c r="CI620" s="18"/>
      <c r="CJ620" s="19"/>
      <c r="CK620" s="19"/>
      <c r="CL620" s="19"/>
      <c r="CM620" s="19"/>
      <c r="CN620" s="427"/>
      <c r="CO620" s="427"/>
      <c r="CP620" s="427"/>
      <c r="CQ620" s="427"/>
      <c r="CR620" s="427"/>
      <c r="CS620" s="427"/>
      <c r="CT620" s="14"/>
    </row>
    <row r="621" spans="1:98" s="4" customFormat="1" x14ac:dyDescent="0.3">
      <c r="A621" s="14"/>
      <c r="B621" s="292"/>
      <c r="C621" s="292"/>
      <c r="D621" s="14"/>
      <c r="E621" s="14"/>
      <c r="F621" s="293"/>
      <c r="G621" s="14"/>
      <c r="H621" s="14"/>
      <c r="I621" s="14"/>
      <c r="J621" s="14"/>
      <c r="K621" s="14"/>
      <c r="L621" s="14"/>
      <c r="M621" s="641"/>
      <c r="N621" s="590"/>
      <c r="O621" s="623"/>
      <c r="P621" s="449"/>
      <c r="Q621" s="14"/>
      <c r="R621" s="14"/>
      <c r="S621" s="14"/>
      <c r="T621" s="14"/>
      <c r="U621" s="14"/>
      <c r="V621" s="14"/>
      <c r="W621" s="14"/>
      <c r="X621" s="14"/>
      <c r="Y621" s="14"/>
      <c r="Z621" s="14"/>
      <c r="AA621" s="18"/>
      <c r="AB621" s="19"/>
      <c r="AC621" s="19"/>
      <c r="AD621" s="19"/>
      <c r="AE621" s="19"/>
      <c r="AF621" s="18"/>
      <c r="AG621" s="19"/>
      <c r="AH621" s="19"/>
      <c r="AI621" s="19"/>
      <c r="AJ621" s="19"/>
      <c r="AK621" s="18"/>
      <c r="AL621" s="19"/>
      <c r="AM621" s="19"/>
      <c r="AN621" s="19"/>
      <c r="AO621" s="19"/>
      <c r="AP621" s="18"/>
      <c r="AQ621" s="19"/>
      <c r="AR621" s="19"/>
      <c r="AS621" s="19"/>
      <c r="AT621" s="19"/>
      <c r="AU621" s="18"/>
      <c r="AV621" s="19"/>
      <c r="AW621" s="19"/>
      <c r="AX621" s="19"/>
      <c r="AY621" s="19"/>
      <c r="AZ621" s="18"/>
      <c r="BA621" s="19"/>
      <c r="BB621" s="19"/>
      <c r="BC621" s="19"/>
      <c r="BD621" s="19"/>
      <c r="BE621" s="18"/>
      <c r="BF621" s="19"/>
      <c r="BG621" s="19"/>
      <c r="BH621" s="19"/>
      <c r="BI621" s="19"/>
      <c r="BJ621" s="18"/>
      <c r="BK621" s="19"/>
      <c r="BL621" s="19"/>
      <c r="BM621" s="19"/>
      <c r="BN621" s="19"/>
      <c r="BO621" s="18"/>
      <c r="BP621" s="19"/>
      <c r="BQ621" s="19"/>
      <c r="BR621" s="19"/>
      <c r="BS621" s="19"/>
      <c r="BT621" s="18"/>
      <c r="BU621" s="19"/>
      <c r="BV621" s="19"/>
      <c r="BW621" s="19"/>
      <c r="BX621" s="19"/>
      <c r="BY621" s="18"/>
      <c r="BZ621" s="19"/>
      <c r="CA621" s="19"/>
      <c r="CB621" s="19"/>
      <c r="CC621" s="19"/>
      <c r="CD621" s="18"/>
      <c r="CE621" s="19"/>
      <c r="CF621" s="19"/>
      <c r="CG621" s="19"/>
      <c r="CH621" s="19"/>
      <c r="CI621" s="18"/>
      <c r="CJ621" s="19"/>
      <c r="CK621" s="19"/>
      <c r="CL621" s="19"/>
      <c r="CM621" s="19"/>
      <c r="CN621" s="427"/>
      <c r="CO621" s="427"/>
      <c r="CP621" s="427"/>
      <c r="CQ621" s="427"/>
      <c r="CR621" s="427"/>
      <c r="CS621" s="427"/>
      <c r="CT621" s="14"/>
    </row>
    <row r="622" spans="1:98" s="4" customFormat="1" x14ac:dyDescent="0.3">
      <c r="A622" s="14"/>
      <c r="B622" s="292"/>
      <c r="C622" s="292"/>
      <c r="D622" s="14"/>
      <c r="E622" s="14"/>
      <c r="F622" s="293"/>
      <c r="G622" s="14"/>
      <c r="H622" s="14"/>
      <c r="I622" s="14"/>
      <c r="J622" s="14"/>
      <c r="K622" s="14"/>
      <c r="L622" s="14"/>
      <c r="M622" s="641"/>
      <c r="N622" s="590"/>
      <c r="O622" s="623"/>
      <c r="P622" s="449"/>
      <c r="Q622" s="14"/>
      <c r="R622" s="14"/>
      <c r="S622" s="14"/>
      <c r="T622" s="14"/>
      <c r="U622" s="14"/>
      <c r="V622" s="14"/>
      <c r="W622" s="14"/>
      <c r="X622" s="14"/>
      <c r="Y622" s="14"/>
      <c r="Z622" s="14"/>
      <c r="AA622" s="18"/>
      <c r="AB622" s="19"/>
      <c r="AC622" s="19"/>
      <c r="AD622" s="19"/>
      <c r="AE622" s="19"/>
      <c r="AF622" s="18"/>
      <c r="AG622" s="19"/>
      <c r="AH622" s="19"/>
      <c r="AI622" s="19"/>
      <c r="AJ622" s="19"/>
      <c r="AK622" s="18"/>
      <c r="AL622" s="19"/>
      <c r="AM622" s="19"/>
      <c r="AN622" s="19"/>
      <c r="AO622" s="19"/>
      <c r="AP622" s="18"/>
      <c r="AQ622" s="19"/>
      <c r="AR622" s="19"/>
      <c r="AS622" s="19"/>
      <c r="AT622" s="19"/>
      <c r="AU622" s="18"/>
      <c r="AV622" s="19"/>
      <c r="AW622" s="19"/>
      <c r="AX622" s="19"/>
      <c r="AY622" s="19"/>
      <c r="AZ622" s="18"/>
      <c r="BA622" s="19"/>
      <c r="BB622" s="19"/>
      <c r="BC622" s="19"/>
      <c r="BD622" s="19"/>
      <c r="BE622" s="18"/>
      <c r="BF622" s="19"/>
      <c r="BG622" s="19"/>
      <c r="BH622" s="19"/>
      <c r="BI622" s="19"/>
      <c r="BJ622" s="18"/>
      <c r="BK622" s="19"/>
      <c r="BL622" s="19"/>
      <c r="BM622" s="19"/>
      <c r="BN622" s="19"/>
      <c r="BO622" s="18"/>
      <c r="BP622" s="19"/>
      <c r="BQ622" s="19"/>
      <c r="BR622" s="19"/>
      <c r="BS622" s="19"/>
      <c r="BT622" s="18"/>
      <c r="BU622" s="19"/>
      <c r="BV622" s="19"/>
      <c r="BW622" s="19"/>
      <c r="BX622" s="19"/>
      <c r="BY622" s="18"/>
      <c r="BZ622" s="19"/>
      <c r="CA622" s="19"/>
      <c r="CB622" s="19"/>
      <c r="CC622" s="19"/>
      <c r="CD622" s="18"/>
      <c r="CE622" s="19"/>
      <c r="CF622" s="19"/>
      <c r="CG622" s="19"/>
      <c r="CH622" s="19"/>
      <c r="CI622" s="18"/>
      <c r="CJ622" s="19"/>
      <c r="CK622" s="19"/>
      <c r="CL622" s="19"/>
      <c r="CM622" s="19"/>
      <c r="CN622" s="427"/>
      <c r="CO622" s="427"/>
      <c r="CP622" s="427"/>
      <c r="CQ622" s="427"/>
      <c r="CR622" s="427"/>
      <c r="CS622" s="427"/>
      <c r="CT622" s="14"/>
    </row>
    <row r="623" spans="1:98" s="4" customFormat="1" x14ac:dyDescent="0.3">
      <c r="A623" s="14"/>
      <c r="B623" s="292"/>
      <c r="C623" s="292"/>
      <c r="D623" s="14"/>
      <c r="E623" s="14"/>
      <c r="F623" s="293"/>
      <c r="G623" s="14"/>
      <c r="H623" s="14"/>
      <c r="I623" s="14"/>
      <c r="J623" s="14"/>
      <c r="K623" s="14"/>
      <c r="L623" s="14"/>
      <c r="M623" s="641"/>
      <c r="N623" s="590"/>
      <c r="O623" s="623"/>
      <c r="P623" s="449"/>
      <c r="Q623" s="14"/>
      <c r="R623" s="14"/>
      <c r="S623" s="14"/>
      <c r="T623" s="14"/>
      <c r="U623" s="14"/>
      <c r="V623" s="14"/>
      <c r="W623" s="14"/>
      <c r="X623" s="14"/>
      <c r="Y623" s="14"/>
      <c r="Z623" s="14"/>
      <c r="AA623" s="18"/>
      <c r="AB623" s="19"/>
      <c r="AC623" s="19"/>
      <c r="AD623" s="19"/>
      <c r="AE623" s="19"/>
      <c r="AF623" s="18"/>
      <c r="AG623" s="19"/>
      <c r="AH623" s="19"/>
      <c r="AI623" s="19"/>
      <c r="AJ623" s="19"/>
      <c r="AK623" s="18"/>
      <c r="AL623" s="19"/>
      <c r="AM623" s="19"/>
      <c r="AN623" s="19"/>
      <c r="AO623" s="19"/>
      <c r="AP623" s="18"/>
      <c r="AQ623" s="19"/>
      <c r="AR623" s="19"/>
      <c r="AS623" s="19"/>
      <c r="AT623" s="19"/>
      <c r="AU623" s="18"/>
      <c r="AV623" s="19"/>
      <c r="AW623" s="19"/>
      <c r="AX623" s="19"/>
      <c r="AY623" s="19"/>
      <c r="AZ623" s="18"/>
      <c r="BA623" s="19"/>
      <c r="BB623" s="19"/>
      <c r="BC623" s="19"/>
      <c r="BD623" s="19"/>
      <c r="BE623" s="18"/>
      <c r="BF623" s="19"/>
      <c r="BG623" s="19"/>
      <c r="BH623" s="19"/>
      <c r="BI623" s="19"/>
      <c r="BJ623" s="18"/>
      <c r="BK623" s="19"/>
      <c r="BL623" s="19"/>
      <c r="BM623" s="19"/>
      <c r="BN623" s="19"/>
      <c r="BO623" s="18"/>
      <c r="BP623" s="19"/>
      <c r="BQ623" s="19"/>
      <c r="BR623" s="19"/>
      <c r="BS623" s="19"/>
      <c r="BT623" s="18"/>
      <c r="BU623" s="19"/>
      <c r="BV623" s="19"/>
      <c r="BW623" s="19"/>
      <c r="BX623" s="19"/>
      <c r="BY623" s="18"/>
      <c r="BZ623" s="19"/>
      <c r="CA623" s="19"/>
      <c r="CB623" s="19"/>
      <c r="CC623" s="19"/>
      <c r="CD623" s="18"/>
      <c r="CE623" s="19"/>
      <c r="CF623" s="19"/>
      <c r="CG623" s="19"/>
      <c r="CH623" s="19"/>
      <c r="CI623" s="18"/>
      <c r="CJ623" s="19"/>
      <c r="CK623" s="19"/>
      <c r="CL623" s="19"/>
      <c r="CM623" s="19"/>
      <c r="CN623" s="427"/>
      <c r="CO623" s="427"/>
      <c r="CP623" s="427"/>
      <c r="CQ623" s="427"/>
      <c r="CR623" s="427"/>
      <c r="CS623" s="427"/>
      <c r="CT623" s="14"/>
    </row>
    <row r="624" spans="1:98" s="4" customFormat="1" x14ac:dyDescent="0.3">
      <c r="A624" s="14"/>
      <c r="B624" s="292"/>
      <c r="C624" s="292"/>
      <c r="D624" s="14"/>
      <c r="E624" s="14"/>
      <c r="F624" s="293"/>
      <c r="G624" s="14"/>
      <c r="H624" s="14"/>
      <c r="I624" s="14"/>
      <c r="J624" s="14"/>
      <c r="K624" s="14"/>
      <c r="L624" s="14"/>
      <c r="M624" s="641"/>
      <c r="N624" s="590"/>
      <c r="O624" s="623"/>
      <c r="P624" s="449"/>
      <c r="Q624" s="14"/>
      <c r="R624" s="14"/>
      <c r="S624" s="14"/>
      <c r="T624" s="14"/>
      <c r="U624" s="14"/>
      <c r="V624" s="14"/>
      <c r="W624" s="14"/>
      <c r="X624" s="14"/>
      <c r="Y624" s="14"/>
      <c r="Z624" s="14"/>
      <c r="AA624" s="18"/>
      <c r="AB624" s="19"/>
      <c r="AC624" s="19"/>
      <c r="AD624" s="19"/>
      <c r="AE624" s="19"/>
      <c r="AF624" s="18"/>
      <c r="AG624" s="19"/>
      <c r="AH624" s="19"/>
      <c r="AI624" s="19"/>
      <c r="AJ624" s="19"/>
      <c r="AK624" s="18"/>
      <c r="AL624" s="19"/>
      <c r="AM624" s="19"/>
      <c r="AN624" s="19"/>
      <c r="AO624" s="19"/>
      <c r="AP624" s="18"/>
      <c r="AQ624" s="19"/>
      <c r="AR624" s="19"/>
      <c r="AS624" s="19"/>
      <c r="AT624" s="19"/>
      <c r="AU624" s="18"/>
      <c r="AV624" s="19"/>
      <c r="AW624" s="19"/>
      <c r="AX624" s="19"/>
      <c r="AY624" s="19"/>
      <c r="AZ624" s="18"/>
      <c r="BA624" s="19"/>
      <c r="BB624" s="19"/>
      <c r="BC624" s="19"/>
      <c r="BD624" s="19"/>
      <c r="BE624" s="18"/>
      <c r="BF624" s="19"/>
      <c r="BG624" s="19"/>
      <c r="BH624" s="19"/>
      <c r="BI624" s="19"/>
      <c r="BJ624" s="18"/>
      <c r="BK624" s="19"/>
      <c r="BL624" s="19"/>
      <c r="BM624" s="19"/>
      <c r="BN624" s="19"/>
      <c r="BO624" s="18"/>
      <c r="BP624" s="19"/>
      <c r="BQ624" s="19"/>
      <c r="BR624" s="19"/>
      <c r="BS624" s="19"/>
      <c r="BT624" s="18"/>
      <c r="BU624" s="19"/>
      <c r="BV624" s="19"/>
      <c r="BW624" s="19"/>
      <c r="BX624" s="19"/>
      <c r="BY624" s="18"/>
      <c r="BZ624" s="19"/>
      <c r="CA624" s="19"/>
      <c r="CB624" s="19"/>
      <c r="CC624" s="19"/>
      <c r="CD624" s="18"/>
      <c r="CE624" s="19"/>
      <c r="CF624" s="19"/>
      <c r="CG624" s="19"/>
      <c r="CH624" s="19"/>
      <c r="CI624" s="18"/>
      <c r="CJ624" s="19"/>
      <c r="CK624" s="19"/>
      <c r="CL624" s="19"/>
      <c r="CM624" s="19"/>
      <c r="CN624" s="427"/>
      <c r="CO624" s="427"/>
      <c r="CP624" s="427"/>
      <c r="CQ624" s="427"/>
      <c r="CR624" s="427"/>
      <c r="CS624" s="427"/>
      <c r="CT624" s="14"/>
    </row>
    <row r="625" spans="1:98" s="4" customFormat="1" x14ac:dyDescent="0.3">
      <c r="A625" s="14"/>
      <c r="B625" s="292"/>
      <c r="C625" s="292"/>
      <c r="D625" s="14"/>
      <c r="E625" s="14"/>
      <c r="F625" s="293"/>
      <c r="G625" s="14"/>
      <c r="H625" s="14"/>
      <c r="I625" s="14"/>
      <c r="J625" s="14"/>
      <c r="K625" s="14"/>
      <c r="L625" s="14"/>
      <c r="M625" s="641"/>
      <c r="N625" s="590"/>
      <c r="O625" s="623"/>
      <c r="P625" s="449"/>
      <c r="Q625" s="14"/>
      <c r="R625" s="14"/>
      <c r="S625" s="14"/>
      <c r="T625" s="14"/>
      <c r="U625" s="14"/>
      <c r="V625" s="14"/>
      <c r="W625" s="14"/>
      <c r="X625" s="14"/>
      <c r="Y625" s="14"/>
      <c r="Z625" s="14"/>
      <c r="AA625" s="18"/>
      <c r="AB625" s="19"/>
      <c r="AC625" s="19"/>
      <c r="AD625" s="19"/>
      <c r="AE625" s="19"/>
      <c r="AF625" s="18"/>
      <c r="AG625" s="19"/>
      <c r="AH625" s="19"/>
      <c r="AI625" s="19"/>
      <c r="AJ625" s="19"/>
      <c r="AK625" s="18"/>
      <c r="AL625" s="19"/>
      <c r="AM625" s="19"/>
      <c r="AN625" s="19"/>
      <c r="AO625" s="19"/>
      <c r="AP625" s="18"/>
      <c r="AQ625" s="19"/>
      <c r="AR625" s="19"/>
      <c r="AS625" s="19"/>
      <c r="AT625" s="19"/>
      <c r="AU625" s="18"/>
      <c r="AV625" s="19"/>
      <c r="AW625" s="19"/>
      <c r="AX625" s="19"/>
      <c r="AY625" s="19"/>
      <c r="AZ625" s="18"/>
      <c r="BA625" s="19"/>
      <c r="BB625" s="19"/>
      <c r="BC625" s="19"/>
      <c r="BD625" s="19"/>
      <c r="BE625" s="18"/>
      <c r="BF625" s="19"/>
      <c r="BG625" s="19"/>
      <c r="BH625" s="19"/>
      <c r="BI625" s="19"/>
      <c r="BJ625" s="18"/>
      <c r="BK625" s="19"/>
      <c r="BL625" s="19"/>
      <c r="BM625" s="19"/>
      <c r="BN625" s="19"/>
      <c r="BO625" s="18"/>
      <c r="BP625" s="19"/>
      <c r="BQ625" s="19"/>
      <c r="BR625" s="19"/>
      <c r="BS625" s="19"/>
      <c r="BT625" s="18"/>
      <c r="BU625" s="19"/>
      <c r="BV625" s="19"/>
      <c r="BW625" s="19"/>
      <c r="BX625" s="19"/>
      <c r="BY625" s="18"/>
      <c r="BZ625" s="19"/>
      <c r="CA625" s="19"/>
      <c r="CB625" s="19"/>
      <c r="CC625" s="19"/>
      <c r="CD625" s="18"/>
      <c r="CE625" s="19"/>
      <c r="CF625" s="19"/>
      <c r="CG625" s="19"/>
      <c r="CH625" s="19"/>
      <c r="CI625" s="18"/>
      <c r="CJ625" s="19"/>
      <c r="CK625" s="19"/>
      <c r="CL625" s="19"/>
      <c r="CM625" s="19"/>
      <c r="CN625" s="427"/>
      <c r="CO625" s="427"/>
      <c r="CP625" s="427"/>
      <c r="CQ625" s="427"/>
      <c r="CR625" s="427"/>
      <c r="CS625" s="427"/>
      <c r="CT625" s="14"/>
    </row>
    <row r="626" spans="1:98" s="4" customFormat="1" x14ac:dyDescent="0.3">
      <c r="A626" s="14"/>
      <c r="B626" s="292"/>
      <c r="C626" s="292"/>
      <c r="D626" s="14"/>
      <c r="E626" s="14"/>
      <c r="F626" s="293"/>
      <c r="G626" s="14"/>
      <c r="H626" s="14"/>
      <c r="I626" s="14"/>
      <c r="J626" s="14"/>
      <c r="K626" s="14"/>
      <c r="L626" s="14"/>
      <c r="M626" s="641"/>
      <c r="N626" s="590"/>
      <c r="O626" s="623"/>
      <c r="P626" s="449"/>
      <c r="Q626" s="14"/>
      <c r="R626" s="14"/>
      <c r="S626" s="14"/>
      <c r="T626" s="14"/>
      <c r="U626" s="14"/>
      <c r="V626" s="14"/>
      <c r="W626" s="14"/>
      <c r="X626" s="14"/>
      <c r="Y626" s="14"/>
      <c r="Z626" s="14"/>
      <c r="AA626" s="18"/>
      <c r="AB626" s="19"/>
      <c r="AC626" s="19"/>
      <c r="AD626" s="19"/>
      <c r="AE626" s="19"/>
      <c r="AF626" s="18"/>
      <c r="AG626" s="19"/>
      <c r="AH626" s="19"/>
      <c r="AI626" s="19"/>
      <c r="AJ626" s="19"/>
      <c r="AK626" s="18"/>
      <c r="AL626" s="19"/>
      <c r="AM626" s="19"/>
      <c r="AN626" s="19"/>
      <c r="AO626" s="19"/>
      <c r="AP626" s="18"/>
      <c r="AQ626" s="19"/>
      <c r="AR626" s="19"/>
      <c r="AS626" s="19"/>
      <c r="AT626" s="19"/>
      <c r="AU626" s="18"/>
      <c r="AV626" s="19"/>
      <c r="AW626" s="19"/>
      <c r="AX626" s="19"/>
      <c r="AY626" s="19"/>
      <c r="AZ626" s="18"/>
      <c r="BA626" s="19"/>
      <c r="BB626" s="19"/>
      <c r="BC626" s="19"/>
      <c r="BD626" s="19"/>
      <c r="BE626" s="18"/>
      <c r="BF626" s="19"/>
      <c r="BG626" s="19"/>
      <c r="BH626" s="19"/>
      <c r="BI626" s="19"/>
      <c r="BJ626" s="18"/>
      <c r="BK626" s="19"/>
      <c r="BL626" s="19"/>
      <c r="BM626" s="19"/>
      <c r="BN626" s="19"/>
      <c r="BO626" s="18"/>
      <c r="BP626" s="19"/>
      <c r="BQ626" s="19"/>
      <c r="BR626" s="19"/>
      <c r="BS626" s="19"/>
      <c r="BT626" s="18"/>
      <c r="BU626" s="19"/>
      <c r="BV626" s="19"/>
      <c r="BW626" s="19"/>
      <c r="BX626" s="19"/>
      <c r="BY626" s="18"/>
      <c r="BZ626" s="19"/>
      <c r="CA626" s="19"/>
      <c r="CB626" s="19"/>
      <c r="CC626" s="19"/>
      <c r="CD626" s="18"/>
      <c r="CE626" s="19"/>
      <c r="CF626" s="19"/>
      <c r="CG626" s="19"/>
      <c r="CH626" s="19"/>
      <c r="CI626" s="18"/>
      <c r="CJ626" s="19"/>
      <c r="CK626" s="19"/>
      <c r="CL626" s="19"/>
      <c r="CM626" s="19"/>
      <c r="CN626" s="427"/>
      <c r="CO626" s="427"/>
      <c r="CP626" s="427"/>
      <c r="CQ626" s="427"/>
      <c r="CR626" s="427"/>
      <c r="CS626" s="427"/>
      <c r="CT626" s="14"/>
    </row>
    <row r="627" spans="1:98" s="4" customFormat="1" x14ac:dyDescent="0.3">
      <c r="A627" s="14"/>
      <c r="B627" s="292"/>
      <c r="C627" s="292"/>
      <c r="D627" s="14"/>
      <c r="E627" s="14"/>
      <c r="F627" s="293"/>
      <c r="G627" s="14"/>
      <c r="H627" s="14"/>
      <c r="I627" s="14"/>
      <c r="J627" s="14"/>
      <c r="K627" s="14"/>
      <c r="L627" s="14"/>
      <c r="M627" s="641"/>
      <c r="N627" s="590"/>
      <c r="O627" s="623"/>
      <c r="P627" s="449"/>
      <c r="Q627" s="14"/>
      <c r="R627" s="14"/>
      <c r="S627" s="14"/>
      <c r="T627" s="14"/>
      <c r="U627" s="14"/>
      <c r="V627" s="14"/>
      <c r="W627" s="14"/>
      <c r="X627" s="14"/>
      <c r="Y627" s="14"/>
      <c r="Z627" s="14"/>
      <c r="AA627" s="18"/>
      <c r="AB627" s="19"/>
      <c r="AC627" s="19"/>
      <c r="AD627" s="19"/>
      <c r="AE627" s="19"/>
      <c r="AF627" s="18"/>
      <c r="AG627" s="19"/>
      <c r="AH627" s="19"/>
      <c r="AI627" s="19"/>
      <c r="AJ627" s="19"/>
      <c r="AK627" s="18"/>
      <c r="AL627" s="19"/>
      <c r="AM627" s="19"/>
      <c r="AN627" s="19"/>
      <c r="AO627" s="19"/>
      <c r="AP627" s="18"/>
      <c r="AQ627" s="19"/>
      <c r="AR627" s="19"/>
      <c r="AS627" s="19"/>
      <c r="AT627" s="19"/>
      <c r="AU627" s="18"/>
      <c r="AV627" s="19"/>
      <c r="AW627" s="19"/>
      <c r="AX627" s="19"/>
      <c r="AY627" s="19"/>
      <c r="AZ627" s="18"/>
      <c r="BA627" s="19"/>
      <c r="BB627" s="19"/>
      <c r="BC627" s="19"/>
      <c r="BD627" s="19"/>
      <c r="BE627" s="18"/>
      <c r="BF627" s="19"/>
      <c r="BG627" s="19"/>
      <c r="BH627" s="19"/>
      <c r="BI627" s="19"/>
      <c r="BJ627" s="18"/>
      <c r="BK627" s="19"/>
      <c r="BL627" s="19"/>
      <c r="BM627" s="19"/>
      <c r="BN627" s="19"/>
      <c r="BO627" s="18"/>
      <c r="BP627" s="19"/>
      <c r="BQ627" s="19"/>
      <c r="BR627" s="19"/>
      <c r="BS627" s="19"/>
      <c r="BT627" s="18"/>
      <c r="BU627" s="19"/>
      <c r="BV627" s="19"/>
      <c r="BW627" s="19"/>
      <c r="BX627" s="19"/>
      <c r="BY627" s="18"/>
      <c r="BZ627" s="19"/>
      <c r="CA627" s="19"/>
      <c r="CB627" s="19"/>
      <c r="CC627" s="19"/>
      <c r="CD627" s="18"/>
      <c r="CE627" s="19"/>
      <c r="CF627" s="19"/>
      <c r="CG627" s="19"/>
      <c r="CH627" s="19"/>
      <c r="CI627" s="18"/>
      <c r="CJ627" s="19"/>
      <c r="CK627" s="19"/>
      <c r="CL627" s="19"/>
      <c r="CM627" s="19"/>
      <c r="CN627" s="427"/>
      <c r="CO627" s="427"/>
      <c r="CP627" s="427"/>
      <c r="CQ627" s="427"/>
      <c r="CR627" s="427"/>
      <c r="CS627" s="427"/>
      <c r="CT627" s="14"/>
    </row>
    <row r="628" spans="1:98" s="4" customFormat="1" x14ac:dyDescent="0.3">
      <c r="A628" s="14"/>
      <c r="B628" s="292"/>
      <c r="C628" s="292"/>
      <c r="D628" s="14"/>
      <c r="E628" s="14"/>
      <c r="F628" s="293"/>
      <c r="G628" s="14"/>
      <c r="H628" s="14"/>
      <c r="I628" s="14"/>
      <c r="J628" s="14"/>
      <c r="K628" s="14"/>
      <c r="L628" s="14"/>
      <c r="M628" s="641"/>
      <c r="N628" s="590"/>
      <c r="O628" s="623"/>
      <c r="P628" s="449"/>
      <c r="Q628" s="14"/>
      <c r="R628" s="14"/>
      <c r="S628" s="14"/>
      <c r="T628" s="14"/>
      <c r="U628" s="14"/>
      <c r="V628" s="14"/>
      <c r="W628" s="14"/>
      <c r="X628" s="14"/>
      <c r="Y628" s="14"/>
      <c r="Z628" s="14"/>
      <c r="AA628" s="18"/>
      <c r="AB628" s="19"/>
      <c r="AC628" s="19"/>
      <c r="AD628" s="19"/>
      <c r="AE628" s="19"/>
      <c r="AF628" s="18"/>
      <c r="AG628" s="19"/>
      <c r="AH628" s="19"/>
      <c r="AI628" s="19"/>
      <c r="AJ628" s="19"/>
      <c r="AK628" s="18"/>
      <c r="AL628" s="19"/>
      <c r="AM628" s="19"/>
      <c r="AN628" s="19"/>
      <c r="AO628" s="19"/>
      <c r="AP628" s="18"/>
      <c r="AQ628" s="19"/>
      <c r="AR628" s="19"/>
      <c r="AS628" s="19"/>
      <c r="AT628" s="19"/>
      <c r="AU628" s="18"/>
      <c r="AV628" s="19"/>
      <c r="AW628" s="19"/>
      <c r="AX628" s="19"/>
      <c r="AY628" s="19"/>
      <c r="AZ628" s="18"/>
      <c r="BA628" s="19"/>
      <c r="BB628" s="19"/>
      <c r="BC628" s="19"/>
      <c r="BD628" s="19"/>
      <c r="BE628" s="18"/>
      <c r="BF628" s="19"/>
      <c r="BG628" s="19"/>
      <c r="BH628" s="19"/>
      <c r="BI628" s="19"/>
      <c r="BJ628" s="18"/>
      <c r="BK628" s="19"/>
      <c r="BL628" s="19"/>
      <c r="BM628" s="19"/>
      <c r="BN628" s="19"/>
      <c r="BO628" s="18"/>
      <c r="BP628" s="19"/>
      <c r="BQ628" s="19"/>
      <c r="BR628" s="19"/>
      <c r="BS628" s="19"/>
      <c r="BT628" s="18"/>
      <c r="BU628" s="19"/>
      <c r="BV628" s="19"/>
      <c r="BW628" s="19"/>
      <c r="BX628" s="19"/>
      <c r="BY628" s="18"/>
      <c r="BZ628" s="19"/>
      <c r="CA628" s="19"/>
      <c r="CB628" s="19"/>
      <c r="CC628" s="19"/>
      <c r="CD628" s="18"/>
      <c r="CE628" s="19"/>
      <c r="CF628" s="19"/>
      <c r="CG628" s="19"/>
      <c r="CH628" s="19"/>
      <c r="CI628" s="18"/>
      <c r="CJ628" s="19"/>
      <c r="CK628" s="19"/>
      <c r="CL628" s="19"/>
      <c r="CM628" s="19"/>
      <c r="CN628" s="427"/>
      <c r="CO628" s="427"/>
      <c r="CP628" s="427"/>
      <c r="CQ628" s="427"/>
      <c r="CR628" s="427"/>
      <c r="CS628" s="427"/>
      <c r="CT628" s="14"/>
    </row>
    <row r="629" spans="1:98" s="4" customFormat="1" x14ac:dyDescent="0.3">
      <c r="A629" s="14"/>
      <c r="B629" s="292"/>
      <c r="C629" s="292"/>
      <c r="D629" s="14"/>
      <c r="E629" s="14"/>
      <c r="F629" s="293"/>
      <c r="G629" s="14"/>
      <c r="H629" s="14"/>
      <c r="I629" s="14"/>
      <c r="J629" s="14"/>
      <c r="K629" s="14"/>
      <c r="L629" s="14"/>
      <c r="M629" s="641"/>
      <c r="N629" s="590"/>
      <c r="O629" s="623"/>
      <c r="P629" s="449"/>
      <c r="Q629" s="14"/>
      <c r="R629" s="14"/>
      <c r="S629" s="14"/>
      <c r="T629" s="14"/>
      <c r="U629" s="14"/>
      <c r="V629" s="14"/>
      <c r="W629" s="14"/>
      <c r="X629" s="14"/>
      <c r="Y629" s="14"/>
      <c r="Z629" s="14"/>
      <c r="AA629" s="18"/>
      <c r="AB629" s="19"/>
      <c r="AC629" s="19"/>
      <c r="AD629" s="19"/>
      <c r="AE629" s="19"/>
      <c r="AF629" s="18"/>
      <c r="AG629" s="19"/>
      <c r="AH629" s="19"/>
      <c r="AI629" s="19"/>
      <c r="AJ629" s="19"/>
      <c r="AK629" s="18"/>
      <c r="AL629" s="19"/>
      <c r="AM629" s="19"/>
      <c r="AN629" s="19"/>
      <c r="AO629" s="19"/>
      <c r="AP629" s="18"/>
      <c r="AQ629" s="19"/>
      <c r="AR629" s="19"/>
      <c r="AS629" s="19"/>
      <c r="AT629" s="19"/>
      <c r="AU629" s="18"/>
      <c r="AV629" s="19"/>
      <c r="AW629" s="19"/>
      <c r="AX629" s="19"/>
      <c r="AY629" s="19"/>
      <c r="AZ629" s="18"/>
      <c r="BA629" s="19"/>
      <c r="BB629" s="19"/>
      <c r="BC629" s="19"/>
      <c r="BD629" s="19"/>
      <c r="BE629" s="18"/>
      <c r="BF629" s="19"/>
      <c r="BG629" s="19"/>
      <c r="BH629" s="19"/>
      <c r="BI629" s="19"/>
      <c r="BJ629" s="18"/>
      <c r="BK629" s="19"/>
      <c r="BL629" s="19"/>
      <c r="BM629" s="19"/>
      <c r="BN629" s="19"/>
      <c r="BO629" s="18"/>
      <c r="BP629" s="19"/>
      <c r="BQ629" s="19"/>
      <c r="BR629" s="19"/>
      <c r="BS629" s="19"/>
      <c r="BT629" s="18"/>
      <c r="BU629" s="19"/>
      <c r="BV629" s="19"/>
      <c r="BW629" s="19"/>
      <c r="BX629" s="19"/>
      <c r="BY629" s="18"/>
      <c r="BZ629" s="19"/>
      <c r="CA629" s="19"/>
      <c r="CB629" s="19"/>
      <c r="CC629" s="19"/>
      <c r="CD629" s="18"/>
      <c r="CE629" s="19"/>
      <c r="CF629" s="19"/>
      <c r="CG629" s="19"/>
      <c r="CH629" s="19"/>
      <c r="CI629" s="18"/>
      <c r="CJ629" s="19"/>
      <c r="CK629" s="19"/>
      <c r="CL629" s="19"/>
      <c r="CM629" s="19"/>
      <c r="CN629" s="427"/>
      <c r="CO629" s="427"/>
      <c r="CP629" s="427"/>
      <c r="CQ629" s="427"/>
      <c r="CR629" s="427"/>
      <c r="CS629" s="427"/>
      <c r="CT629" s="14"/>
    </row>
    <row r="630" spans="1:98" s="4" customFormat="1" x14ac:dyDescent="0.3">
      <c r="A630" s="14"/>
      <c r="B630" s="292"/>
      <c r="C630" s="292"/>
      <c r="D630" s="14"/>
      <c r="E630" s="14"/>
      <c r="F630" s="293"/>
      <c r="G630" s="14"/>
      <c r="H630" s="14"/>
      <c r="I630" s="14"/>
      <c r="J630" s="14"/>
      <c r="K630" s="14"/>
      <c r="L630" s="14"/>
      <c r="M630" s="641"/>
      <c r="N630" s="590"/>
      <c r="O630" s="623"/>
      <c r="P630" s="449"/>
      <c r="Q630" s="14"/>
      <c r="R630" s="14"/>
      <c r="S630" s="14"/>
      <c r="T630" s="14"/>
      <c r="U630" s="14"/>
      <c r="V630" s="14"/>
      <c r="W630" s="14"/>
      <c r="X630" s="14"/>
      <c r="Y630" s="14"/>
      <c r="Z630" s="14"/>
      <c r="AA630" s="18"/>
      <c r="AB630" s="19"/>
      <c r="AC630" s="19"/>
      <c r="AD630" s="19"/>
      <c r="AE630" s="19"/>
      <c r="AF630" s="18"/>
      <c r="AG630" s="19"/>
      <c r="AH630" s="19"/>
      <c r="AI630" s="19"/>
      <c r="AJ630" s="19"/>
      <c r="AK630" s="18"/>
      <c r="AL630" s="19"/>
      <c r="AM630" s="19"/>
      <c r="AN630" s="19"/>
      <c r="AO630" s="19"/>
      <c r="AP630" s="18"/>
      <c r="AQ630" s="19"/>
      <c r="AR630" s="19"/>
      <c r="AS630" s="19"/>
      <c r="AT630" s="19"/>
      <c r="AU630" s="18"/>
      <c r="AV630" s="19"/>
      <c r="AW630" s="19"/>
      <c r="AX630" s="19"/>
      <c r="AY630" s="19"/>
      <c r="AZ630" s="18"/>
      <c r="BA630" s="19"/>
      <c r="BB630" s="19"/>
      <c r="BC630" s="19"/>
      <c r="BD630" s="19"/>
      <c r="BE630" s="18"/>
      <c r="BF630" s="19"/>
      <c r="BG630" s="19"/>
      <c r="BH630" s="19"/>
      <c r="BI630" s="19"/>
      <c r="BJ630" s="18"/>
      <c r="BK630" s="19"/>
      <c r="BL630" s="19"/>
      <c r="BM630" s="19"/>
      <c r="BN630" s="19"/>
      <c r="BO630" s="18"/>
      <c r="BP630" s="19"/>
      <c r="BQ630" s="19"/>
      <c r="BR630" s="19"/>
      <c r="BS630" s="19"/>
      <c r="BT630" s="18"/>
      <c r="BU630" s="19"/>
      <c r="BV630" s="19"/>
      <c r="BW630" s="19"/>
      <c r="BX630" s="19"/>
      <c r="BY630" s="18"/>
      <c r="BZ630" s="19"/>
      <c r="CA630" s="19"/>
      <c r="CB630" s="19"/>
      <c r="CC630" s="19"/>
      <c r="CD630" s="18"/>
      <c r="CE630" s="19"/>
      <c r="CF630" s="19"/>
      <c r="CG630" s="19"/>
      <c r="CH630" s="19"/>
      <c r="CI630" s="18"/>
      <c r="CJ630" s="19"/>
      <c r="CK630" s="19"/>
      <c r="CL630" s="19"/>
      <c r="CM630" s="19"/>
      <c r="CN630" s="427"/>
      <c r="CO630" s="427"/>
      <c r="CP630" s="427"/>
      <c r="CQ630" s="427"/>
      <c r="CR630" s="427"/>
      <c r="CS630" s="427"/>
      <c r="CT630" s="14"/>
    </row>
    <row r="631" spans="1:98" s="4" customFormat="1" x14ac:dyDescent="0.3">
      <c r="A631" s="14"/>
      <c r="B631" s="292"/>
      <c r="C631" s="292"/>
      <c r="D631" s="14"/>
      <c r="E631" s="14"/>
      <c r="F631" s="293"/>
      <c r="G631" s="14"/>
      <c r="H631" s="14"/>
      <c r="I631" s="14"/>
      <c r="J631" s="14"/>
      <c r="K631" s="14"/>
      <c r="L631" s="14"/>
      <c r="M631" s="641"/>
      <c r="N631" s="590"/>
      <c r="O631" s="623"/>
      <c r="P631" s="449"/>
      <c r="Q631" s="14"/>
      <c r="R631" s="14"/>
      <c r="S631" s="14"/>
      <c r="T631" s="14"/>
      <c r="U631" s="14"/>
      <c r="V631" s="14"/>
      <c r="W631" s="14"/>
      <c r="X631" s="14"/>
      <c r="Y631" s="14"/>
      <c r="Z631" s="14"/>
      <c r="AA631" s="18"/>
      <c r="AB631" s="19"/>
      <c r="AC631" s="19"/>
      <c r="AD631" s="19"/>
      <c r="AE631" s="19"/>
      <c r="AF631" s="18"/>
      <c r="AG631" s="19"/>
      <c r="AH631" s="19"/>
      <c r="AI631" s="19"/>
      <c r="AJ631" s="19"/>
      <c r="AK631" s="18"/>
      <c r="AL631" s="19"/>
      <c r="AM631" s="19"/>
      <c r="AN631" s="19"/>
      <c r="AO631" s="19"/>
      <c r="AP631" s="18"/>
      <c r="AQ631" s="19"/>
      <c r="AR631" s="19"/>
      <c r="AS631" s="19"/>
      <c r="AT631" s="19"/>
      <c r="AU631" s="18"/>
      <c r="AV631" s="19"/>
      <c r="AW631" s="19"/>
      <c r="AX631" s="19"/>
      <c r="AY631" s="19"/>
      <c r="AZ631" s="18"/>
      <c r="BA631" s="19"/>
      <c r="BB631" s="19"/>
      <c r="BC631" s="19"/>
      <c r="BD631" s="19"/>
      <c r="BE631" s="18"/>
      <c r="BF631" s="19"/>
      <c r="BG631" s="19"/>
      <c r="BH631" s="19"/>
      <c r="BI631" s="19"/>
      <c r="BJ631" s="18"/>
      <c r="BK631" s="19"/>
      <c r="BL631" s="19"/>
      <c r="BM631" s="19"/>
      <c r="BN631" s="19"/>
      <c r="BO631" s="18"/>
      <c r="BP631" s="19"/>
      <c r="BQ631" s="19"/>
      <c r="BR631" s="19"/>
      <c r="BS631" s="19"/>
      <c r="BT631" s="18"/>
      <c r="BU631" s="19"/>
      <c r="BV631" s="19"/>
      <c r="BW631" s="19"/>
      <c r="BX631" s="19"/>
      <c r="BY631" s="18"/>
      <c r="BZ631" s="19"/>
      <c r="CA631" s="19"/>
      <c r="CB631" s="19"/>
      <c r="CC631" s="19"/>
      <c r="CD631" s="18"/>
      <c r="CE631" s="19"/>
      <c r="CF631" s="19"/>
      <c r="CG631" s="19"/>
      <c r="CH631" s="19"/>
      <c r="CI631" s="18"/>
      <c r="CJ631" s="19"/>
      <c r="CK631" s="19"/>
      <c r="CL631" s="19"/>
      <c r="CM631" s="19"/>
      <c r="CN631" s="427"/>
      <c r="CO631" s="427"/>
      <c r="CP631" s="427"/>
      <c r="CQ631" s="427"/>
      <c r="CR631" s="427"/>
      <c r="CS631" s="427"/>
      <c r="CT631" s="14"/>
    </row>
    <row r="632" spans="1:98" s="4" customFormat="1" x14ac:dyDescent="0.3">
      <c r="A632" s="14"/>
      <c r="B632" s="292"/>
      <c r="C632" s="292"/>
      <c r="D632" s="14"/>
      <c r="E632" s="14"/>
      <c r="F632" s="293"/>
      <c r="G632" s="14"/>
      <c r="H632" s="14"/>
      <c r="I632" s="14"/>
      <c r="J632" s="14"/>
      <c r="K632" s="14"/>
      <c r="L632" s="14"/>
      <c r="M632" s="641"/>
      <c r="N632" s="590"/>
      <c r="O632" s="623"/>
      <c r="P632" s="449"/>
      <c r="Q632" s="14"/>
      <c r="R632" s="14"/>
      <c r="S632" s="14"/>
      <c r="T632" s="14"/>
      <c r="U632" s="14"/>
      <c r="V632" s="14"/>
      <c r="W632" s="14"/>
      <c r="X632" s="14"/>
      <c r="Y632" s="14"/>
      <c r="Z632" s="14"/>
      <c r="AA632" s="18"/>
      <c r="AB632" s="19"/>
      <c r="AC632" s="19"/>
      <c r="AD632" s="19"/>
      <c r="AE632" s="19"/>
      <c r="AF632" s="18"/>
      <c r="AG632" s="19"/>
      <c r="AH632" s="19"/>
      <c r="AI632" s="19"/>
      <c r="AJ632" s="19"/>
      <c r="AK632" s="18"/>
      <c r="AL632" s="19"/>
      <c r="AM632" s="19"/>
      <c r="AN632" s="19"/>
      <c r="AO632" s="19"/>
      <c r="AP632" s="18"/>
      <c r="AQ632" s="19"/>
      <c r="AR632" s="19"/>
      <c r="AS632" s="19"/>
      <c r="AT632" s="19"/>
      <c r="AU632" s="18"/>
      <c r="AV632" s="19"/>
      <c r="AW632" s="19"/>
      <c r="AX632" s="19"/>
      <c r="AY632" s="19"/>
      <c r="AZ632" s="18"/>
      <c r="BA632" s="19"/>
      <c r="BB632" s="19"/>
      <c r="BC632" s="19"/>
      <c r="BD632" s="19"/>
      <c r="BE632" s="18"/>
      <c r="BF632" s="19"/>
      <c r="BG632" s="19"/>
      <c r="BH632" s="19"/>
      <c r="BI632" s="19"/>
      <c r="BJ632" s="18"/>
      <c r="BK632" s="19"/>
      <c r="BL632" s="19"/>
      <c r="BM632" s="19"/>
      <c r="BN632" s="19"/>
      <c r="BO632" s="18"/>
      <c r="BP632" s="19"/>
      <c r="BQ632" s="19"/>
      <c r="BR632" s="19"/>
      <c r="BS632" s="19"/>
      <c r="BT632" s="18"/>
      <c r="BU632" s="19"/>
      <c r="BV632" s="19"/>
      <c r="BW632" s="19"/>
      <c r="BX632" s="19"/>
      <c r="BY632" s="18"/>
      <c r="BZ632" s="19"/>
      <c r="CA632" s="19"/>
      <c r="CB632" s="19"/>
      <c r="CC632" s="19"/>
      <c r="CD632" s="18"/>
      <c r="CE632" s="19"/>
      <c r="CF632" s="19"/>
      <c r="CG632" s="19"/>
      <c r="CH632" s="19"/>
      <c r="CI632" s="18"/>
      <c r="CJ632" s="19"/>
      <c r="CK632" s="19"/>
      <c r="CL632" s="19"/>
      <c r="CM632" s="19"/>
      <c r="CN632" s="427"/>
      <c r="CO632" s="427"/>
      <c r="CP632" s="427"/>
      <c r="CQ632" s="427"/>
      <c r="CR632" s="427"/>
      <c r="CS632" s="427"/>
      <c r="CT632" s="14"/>
    </row>
    <row r="633" spans="1:98" s="4" customFormat="1" x14ac:dyDescent="0.3">
      <c r="A633" s="14"/>
      <c r="B633" s="292"/>
      <c r="C633" s="292"/>
      <c r="D633" s="14"/>
      <c r="E633" s="14"/>
      <c r="F633" s="293"/>
      <c r="G633" s="14"/>
      <c r="H633" s="14"/>
      <c r="I633" s="14"/>
      <c r="J633" s="14"/>
      <c r="K633" s="14"/>
      <c r="L633" s="14"/>
      <c r="M633" s="641"/>
      <c r="N633" s="590"/>
      <c r="O633" s="623"/>
      <c r="P633" s="449"/>
      <c r="Q633" s="14"/>
      <c r="R633" s="14"/>
      <c r="S633" s="14"/>
      <c r="T633" s="14"/>
      <c r="U633" s="14"/>
      <c r="V633" s="14"/>
      <c r="W633" s="14"/>
      <c r="X633" s="14"/>
      <c r="Y633" s="14"/>
      <c r="Z633" s="14"/>
      <c r="AA633" s="18"/>
      <c r="AB633" s="19"/>
      <c r="AC633" s="19"/>
      <c r="AD633" s="19"/>
      <c r="AE633" s="19"/>
      <c r="AF633" s="18"/>
      <c r="AG633" s="19"/>
      <c r="AH633" s="19"/>
      <c r="AI633" s="19"/>
      <c r="AJ633" s="19"/>
      <c r="AK633" s="18"/>
      <c r="AL633" s="19"/>
      <c r="AM633" s="19"/>
      <c r="AN633" s="19"/>
      <c r="AO633" s="19"/>
      <c r="AP633" s="18"/>
      <c r="AQ633" s="19"/>
      <c r="AR633" s="19"/>
      <c r="AS633" s="19"/>
      <c r="AT633" s="19"/>
      <c r="AU633" s="18"/>
      <c r="AV633" s="19"/>
      <c r="AW633" s="19"/>
      <c r="AX633" s="19"/>
      <c r="AY633" s="19"/>
      <c r="AZ633" s="18"/>
      <c r="BA633" s="19"/>
      <c r="BB633" s="19"/>
      <c r="BC633" s="19"/>
      <c r="BD633" s="19"/>
      <c r="BE633" s="18"/>
      <c r="BF633" s="19"/>
      <c r="BG633" s="19"/>
      <c r="BH633" s="19"/>
      <c r="BI633" s="19"/>
      <c r="BJ633" s="18"/>
      <c r="BK633" s="19"/>
      <c r="BL633" s="19"/>
      <c r="BM633" s="19"/>
      <c r="BN633" s="19"/>
      <c r="BO633" s="18"/>
      <c r="BP633" s="19"/>
      <c r="BQ633" s="19"/>
      <c r="BR633" s="19"/>
      <c r="BS633" s="19"/>
      <c r="BT633" s="18"/>
      <c r="BU633" s="19"/>
      <c r="BV633" s="19"/>
      <c r="BW633" s="19"/>
      <c r="BX633" s="19"/>
      <c r="BY633" s="18"/>
      <c r="BZ633" s="19"/>
      <c r="CA633" s="19"/>
      <c r="CB633" s="19"/>
      <c r="CC633" s="19"/>
      <c r="CD633" s="18"/>
      <c r="CE633" s="19"/>
      <c r="CF633" s="19"/>
      <c r="CG633" s="19"/>
      <c r="CH633" s="19"/>
      <c r="CI633" s="18"/>
      <c r="CJ633" s="19"/>
      <c r="CK633" s="19"/>
      <c r="CL633" s="19"/>
      <c r="CM633" s="19"/>
      <c r="CN633" s="427"/>
      <c r="CO633" s="427"/>
      <c r="CP633" s="427"/>
      <c r="CQ633" s="427"/>
      <c r="CR633" s="427"/>
      <c r="CS633" s="427"/>
      <c r="CT633" s="14"/>
    </row>
    <row r="634" spans="1:98" s="4" customFormat="1" x14ac:dyDescent="0.3">
      <c r="A634" s="14"/>
      <c r="B634" s="292"/>
      <c r="C634" s="292"/>
      <c r="D634" s="14"/>
      <c r="E634" s="14"/>
      <c r="F634" s="293"/>
      <c r="G634" s="14"/>
      <c r="H634" s="14"/>
      <c r="I634" s="14"/>
      <c r="J634" s="14"/>
      <c r="K634" s="14"/>
      <c r="L634" s="14"/>
      <c r="M634" s="641"/>
      <c r="N634" s="590"/>
      <c r="O634" s="623"/>
      <c r="P634" s="449"/>
      <c r="Q634" s="14"/>
      <c r="R634" s="14"/>
      <c r="S634" s="14"/>
      <c r="T634" s="14"/>
      <c r="U634" s="14"/>
      <c r="V634" s="14"/>
      <c r="W634" s="14"/>
      <c r="X634" s="14"/>
      <c r="Y634" s="14"/>
      <c r="Z634" s="14"/>
      <c r="AA634" s="18"/>
      <c r="AB634" s="19"/>
      <c r="AC634" s="19"/>
      <c r="AD634" s="19"/>
      <c r="AE634" s="19"/>
      <c r="AF634" s="18"/>
      <c r="AG634" s="19"/>
      <c r="AH634" s="19"/>
      <c r="AI634" s="19"/>
      <c r="AJ634" s="19"/>
      <c r="AK634" s="18"/>
      <c r="AL634" s="19"/>
      <c r="AM634" s="19"/>
      <c r="AN634" s="19"/>
      <c r="AO634" s="19"/>
      <c r="AP634" s="18"/>
      <c r="AQ634" s="19"/>
      <c r="AR634" s="19"/>
      <c r="AS634" s="19"/>
      <c r="AT634" s="19"/>
      <c r="AU634" s="18"/>
      <c r="AV634" s="19"/>
      <c r="AW634" s="19"/>
      <c r="AX634" s="19"/>
      <c r="AY634" s="19"/>
      <c r="AZ634" s="18"/>
      <c r="BA634" s="19"/>
      <c r="BB634" s="19"/>
      <c r="BC634" s="19"/>
      <c r="BD634" s="19"/>
      <c r="BE634" s="18"/>
      <c r="BF634" s="19"/>
      <c r="BG634" s="19"/>
      <c r="BH634" s="19"/>
      <c r="BI634" s="19"/>
      <c r="BJ634" s="18"/>
      <c r="BK634" s="19"/>
      <c r="BL634" s="19"/>
      <c r="BM634" s="19"/>
      <c r="BN634" s="19"/>
      <c r="BO634" s="18"/>
      <c r="BP634" s="19"/>
      <c r="BQ634" s="19"/>
      <c r="BR634" s="19"/>
      <c r="BS634" s="19"/>
      <c r="BT634" s="18"/>
      <c r="BU634" s="19"/>
      <c r="BV634" s="19"/>
      <c r="BW634" s="19"/>
      <c r="BX634" s="19"/>
      <c r="BY634" s="18"/>
      <c r="BZ634" s="19"/>
      <c r="CA634" s="19"/>
      <c r="CB634" s="19"/>
      <c r="CC634" s="19"/>
      <c r="CD634" s="18"/>
      <c r="CE634" s="19"/>
      <c r="CF634" s="19"/>
      <c r="CG634" s="19"/>
      <c r="CH634" s="19"/>
      <c r="CI634" s="18"/>
      <c r="CJ634" s="19"/>
      <c r="CK634" s="19"/>
      <c r="CL634" s="19"/>
      <c r="CM634" s="19"/>
      <c r="CN634" s="427"/>
      <c r="CO634" s="427"/>
      <c r="CP634" s="427"/>
      <c r="CQ634" s="427"/>
      <c r="CR634" s="427"/>
      <c r="CS634" s="427"/>
      <c r="CT634" s="14"/>
    </row>
    <row r="635" spans="1:98" s="4" customFormat="1" x14ac:dyDescent="0.3">
      <c r="A635" s="14"/>
      <c r="B635" s="292"/>
      <c r="C635" s="292"/>
      <c r="D635" s="14"/>
      <c r="E635" s="14"/>
      <c r="F635" s="293"/>
      <c r="G635" s="14"/>
      <c r="H635" s="14"/>
      <c r="I635" s="14"/>
      <c r="J635" s="14"/>
      <c r="K635" s="14"/>
      <c r="L635" s="14"/>
      <c r="M635" s="641"/>
      <c r="N635" s="590"/>
      <c r="O635" s="623"/>
      <c r="P635" s="449"/>
      <c r="Q635" s="14"/>
      <c r="R635" s="14"/>
      <c r="S635" s="14"/>
      <c r="T635" s="14"/>
      <c r="U635" s="14"/>
      <c r="V635" s="14"/>
      <c r="W635" s="14"/>
      <c r="X635" s="14"/>
      <c r="Y635" s="14"/>
      <c r="Z635" s="14"/>
      <c r="AA635" s="18"/>
      <c r="AB635" s="19"/>
      <c r="AC635" s="19"/>
      <c r="AD635" s="19"/>
      <c r="AE635" s="19"/>
      <c r="AF635" s="18"/>
      <c r="AG635" s="19"/>
      <c r="AH635" s="19"/>
      <c r="AI635" s="19"/>
      <c r="AJ635" s="19"/>
      <c r="AK635" s="18"/>
      <c r="AL635" s="19"/>
      <c r="AM635" s="19"/>
      <c r="AN635" s="19"/>
      <c r="AO635" s="19"/>
      <c r="AP635" s="18"/>
      <c r="AQ635" s="19"/>
      <c r="AR635" s="19"/>
      <c r="AS635" s="19"/>
      <c r="AT635" s="19"/>
      <c r="AU635" s="18"/>
      <c r="AV635" s="19"/>
      <c r="AW635" s="19"/>
      <c r="AX635" s="19"/>
      <c r="AY635" s="19"/>
      <c r="AZ635" s="18"/>
      <c r="BA635" s="19"/>
      <c r="BB635" s="19"/>
      <c r="BC635" s="19"/>
      <c r="BD635" s="19"/>
      <c r="BE635" s="18"/>
      <c r="BF635" s="19"/>
      <c r="BG635" s="19"/>
      <c r="BH635" s="19"/>
      <c r="BI635" s="19"/>
      <c r="BJ635" s="18"/>
      <c r="BK635" s="19"/>
      <c r="BL635" s="19"/>
      <c r="BM635" s="19"/>
      <c r="BN635" s="19"/>
      <c r="BO635" s="18"/>
      <c r="BP635" s="19"/>
      <c r="BQ635" s="19"/>
      <c r="BR635" s="19"/>
      <c r="BS635" s="19"/>
      <c r="BT635" s="18"/>
      <c r="BU635" s="19"/>
      <c r="BV635" s="19"/>
      <c r="BW635" s="19"/>
      <c r="BX635" s="19"/>
      <c r="BY635" s="18"/>
      <c r="BZ635" s="19"/>
      <c r="CA635" s="19"/>
      <c r="CB635" s="19"/>
      <c r="CC635" s="19"/>
      <c r="CD635" s="18"/>
      <c r="CE635" s="19"/>
      <c r="CF635" s="19"/>
      <c r="CG635" s="19"/>
      <c r="CH635" s="19"/>
      <c r="CI635" s="18"/>
      <c r="CJ635" s="19"/>
      <c r="CK635" s="19"/>
      <c r="CL635" s="19"/>
      <c r="CM635" s="19"/>
      <c r="CN635" s="427"/>
      <c r="CO635" s="427"/>
      <c r="CP635" s="427"/>
      <c r="CQ635" s="427"/>
      <c r="CR635" s="427"/>
      <c r="CS635" s="427"/>
      <c r="CT635" s="14"/>
    </row>
    <row r="636" spans="1:98" s="4" customFormat="1" x14ac:dyDescent="0.3">
      <c r="A636" s="14"/>
      <c r="B636" s="292"/>
      <c r="C636" s="292"/>
      <c r="D636" s="14"/>
      <c r="E636" s="14"/>
      <c r="F636" s="293"/>
      <c r="G636" s="14"/>
      <c r="H636" s="14"/>
      <c r="I636" s="14"/>
      <c r="J636" s="14"/>
      <c r="K636" s="14"/>
      <c r="L636" s="14"/>
      <c r="M636" s="641"/>
      <c r="N636" s="590"/>
      <c r="O636" s="623"/>
      <c r="P636" s="449"/>
      <c r="Q636" s="14"/>
      <c r="R636" s="14"/>
      <c r="S636" s="14"/>
      <c r="T636" s="14"/>
      <c r="U636" s="14"/>
      <c r="V636" s="14"/>
      <c r="W636" s="14"/>
      <c r="X636" s="14"/>
      <c r="Y636" s="14"/>
      <c r="Z636" s="14"/>
      <c r="AA636" s="18"/>
      <c r="AB636" s="19"/>
      <c r="AC636" s="19"/>
      <c r="AD636" s="19"/>
      <c r="AE636" s="19"/>
      <c r="AF636" s="18"/>
      <c r="AG636" s="19"/>
      <c r="AH636" s="19"/>
      <c r="AI636" s="19"/>
      <c r="AJ636" s="19"/>
      <c r="AK636" s="18"/>
      <c r="AL636" s="19"/>
      <c r="AM636" s="19"/>
      <c r="AN636" s="19"/>
      <c r="AO636" s="19"/>
      <c r="AP636" s="18"/>
      <c r="AQ636" s="19"/>
      <c r="AR636" s="19"/>
      <c r="AS636" s="19"/>
      <c r="AT636" s="19"/>
      <c r="AU636" s="18"/>
      <c r="AV636" s="19"/>
      <c r="AW636" s="19"/>
      <c r="AX636" s="19"/>
      <c r="AY636" s="19"/>
      <c r="AZ636" s="18"/>
      <c r="BA636" s="19"/>
      <c r="BB636" s="19"/>
      <c r="BC636" s="19"/>
      <c r="BD636" s="19"/>
      <c r="BE636" s="18"/>
      <c r="BF636" s="19"/>
      <c r="BG636" s="19"/>
      <c r="BH636" s="19"/>
      <c r="BI636" s="19"/>
      <c r="BJ636" s="18"/>
      <c r="BK636" s="19"/>
      <c r="BL636" s="19"/>
      <c r="BM636" s="19"/>
      <c r="BN636" s="19"/>
      <c r="BO636" s="18"/>
      <c r="BP636" s="19"/>
      <c r="BQ636" s="19"/>
      <c r="BR636" s="19"/>
      <c r="BS636" s="19"/>
      <c r="BT636" s="18"/>
      <c r="BU636" s="19"/>
      <c r="BV636" s="19"/>
      <c r="BW636" s="19"/>
      <c r="BX636" s="19"/>
      <c r="BY636" s="18"/>
      <c r="BZ636" s="19"/>
      <c r="CA636" s="19"/>
      <c r="CB636" s="19"/>
      <c r="CC636" s="19"/>
      <c r="CD636" s="18"/>
      <c r="CE636" s="19"/>
      <c r="CF636" s="19"/>
      <c r="CG636" s="19"/>
      <c r="CH636" s="19"/>
      <c r="CI636" s="18"/>
      <c r="CJ636" s="19"/>
      <c r="CK636" s="19"/>
      <c r="CL636" s="19"/>
      <c r="CM636" s="19"/>
      <c r="CN636" s="427"/>
      <c r="CO636" s="427"/>
      <c r="CP636" s="427"/>
      <c r="CQ636" s="427"/>
      <c r="CR636" s="427"/>
      <c r="CS636" s="427"/>
      <c r="CT636" s="14"/>
    </row>
    <row r="637" spans="1:98" s="4" customFormat="1" x14ac:dyDescent="0.3">
      <c r="A637" s="14"/>
      <c r="B637" s="292"/>
      <c r="C637" s="292"/>
      <c r="D637" s="14"/>
      <c r="E637" s="14"/>
      <c r="F637" s="293"/>
      <c r="G637" s="14"/>
      <c r="H637" s="14"/>
      <c r="I637" s="14"/>
      <c r="J637" s="14"/>
      <c r="K637" s="14"/>
      <c r="L637" s="14"/>
      <c r="M637" s="641"/>
      <c r="N637" s="590"/>
      <c r="O637" s="623"/>
      <c r="P637" s="449"/>
      <c r="Q637" s="14"/>
      <c r="R637" s="14"/>
      <c r="S637" s="14"/>
      <c r="T637" s="14"/>
      <c r="U637" s="14"/>
      <c r="V637" s="14"/>
      <c r="W637" s="14"/>
      <c r="X637" s="14"/>
      <c r="Y637" s="14"/>
      <c r="Z637" s="14"/>
      <c r="AA637" s="18"/>
      <c r="AB637" s="19"/>
      <c r="AC637" s="19"/>
      <c r="AD637" s="19"/>
      <c r="AE637" s="19"/>
      <c r="AF637" s="18"/>
      <c r="AG637" s="19"/>
      <c r="AH637" s="19"/>
      <c r="AI637" s="19"/>
      <c r="AJ637" s="19"/>
      <c r="AK637" s="18"/>
      <c r="AL637" s="19"/>
      <c r="AM637" s="19"/>
      <c r="AN637" s="19"/>
      <c r="AO637" s="19"/>
      <c r="AP637" s="18"/>
      <c r="AQ637" s="19"/>
      <c r="AR637" s="19"/>
      <c r="AS637" s="19"/>
      <c r="AT637" s="19"/>
      <c r="AU637" s="18"/>
      <c r="AV637" s="19"/>
      <c r="AW637" s="19"/>
      <c r="AX637" s="19"/>
      <c r="AY637" s="19"/>
      <c r="AZ637" s="18"/>
      <c r="BA637" s="19"/>
      <c r="BB637" s="19"/>
      <c r="BC637" s="19"/>
      <c r="BD637" s="19"/>
      <c r="BE637" s="18"/>
      <c r="BF637" s="19"/>
      <c r="BG637" s="19"/>
      <c r="BH637" s="19"/>
      <c r="BI637" s="19"/>
      <c r="BJ637" s="18"/>
      <c r="BK637" s="19"/>
      <c r="BL637" s="19"/>
      <c r="BM637" s="19"/>
      <c r="BN637" s="19"/>
      <c r="BO637" s="18"/>
      <c r="BP637" s="19"/>
      <c r="BQ637" s="19"/>
      <c r="BR637" s="19"/>
      <c r="BS637" s="19"/>
      <c r="BT637" s="18"/>
      <c r="BU637" s="19"/>
      <c r="BV637" s="19"/>
      <c r="BW637" s="19"/>
      <c r="BX637" s="19"/>
      <c r="BY637" s="18"/>
      <c r="BZ637" s="19"/>
      <c r="CA637" s="19"/>
      <c r="CB637" s="19"/>
      <c r="CC637" s="19"/>
      <c r="CD637" s="18"/>
      <c r="CE637" s="19"/>
      <c r="CF637" s="19"/>
      <c r="CG637" s="19"/>
      <c r="CH637" s="19"/>
      <c r="CI637" s="18"/>
      <c r="CJ637" s="19"/>
      <c r="CK637" s="19"/>
      <c r="CL637" s="19"/>
      <c r="CM637" s="19"/>
      <c r="CN637" s="427"/>
      <c r="CO637" s="427"/>
      <c r="CP637" s="427"/>
      <c r="CQ637" s="427"/>
      <c r="CR637" s="427"/>
      <c r="CS637" s="427"/>
      <c r="CT637" s="14"/>
    </row>
    <row r="638" spans="1:98" s="4" customFormat="1" x14ac:dyDescent="0.3">
      <c r="A638" s="14"/>
      <c r="B638" s="292"/>
      <c r="C638" s="292"/>
      <c r="D638" s="14"/>
      <c r="E638" s="14"/>
      <c r="F638" s="293"/>
      <c r="G638" s="14"/>
      <c r="H638" s="14"/>
      <c r="I638" s="14"/>
      <c r="J638" s="14"/>
      <c r="K638" s="14"/>
      <c r="L638" s="14"/>
      <c r="M638" s="641"/>
      <c r="N638" s="590"/>
      <c r="O638" s="623"/>
      <c r="P638" s="449"/>
      <c r="Q638" s="14"/>
      <c r="R638" s="14"/>
      <c r="S638" s="14"/>
      <c r="T638" s="14"/>
      <c r="U638" s="14"/>
      <c r="V638" s="14"/>
      <c r="W638" s="14"/>
      <c r="X638" s="14"/>
      <c r="Y638" s="14"/>
      <c r="Z638" s="14"/>
      <c r="AA638" s="18"/>
      <c r="AB638" s="19"/>
      <c r="AC638" s="19"/>
      <c r="AD638" s="19"/>
      <c r="AE638" s="19"/>
      <c r="AF638" s="18"/>
      <c r="AG638" s="19"/>
      <c r="AH638" s="19"/>
      <c r="AI638" s="19"/>
      <c r="AJ638" s="19"/>
      <c r="AK638" s="18"/>
      <c r="AL638" s="19"/>
      <c r="AM638" s="19"/>
      <c r="AN638" s="19"/>
      <c r="AO638" s="19"/>
      <c r="AP638" s="18"/>
      <c r="AQ638" s="19"/>
      <c r="AR638" s="19"/>
      <c r="AS638" s="19"/>
      <c r="AT638" s="19"/>
      <c r="AU638" s="18"/>
      <c r="AV638" s="19"/>
      <c r="AW638" s="19"/>
      <c r="AX638" s="19"/>
      <c r="AY638" s="19"/>
      <c r="AZ638" s="18"/>
      <c r="BA638" s="19"/>
      <c r="BB638" s="19"/>
      <c r="BC638" s="19"/>
      <c r="BD638" s="19"/>
      <c r="BE638" s="18"/>
      <c r="BF638" s="19"/>
      <c r="BG638" s="19"/>
      <c r="BH638" s="19"/>
      <c r="BI638" s="19"/>
      <c r="BJ638" s="18"/>
      <c r="BK638" s="19"/>
      <c r="BL638" s="19"/>
      <c r="BM638" s="19"/>
      <c r="BN638" s="19"/>
      <c r="BO638" s="18"/>
      <c r="BP638" s="19"/>
      <c r="BQ638" s="19"/>
      <c r="BR638" s="19"/>
      <c r="BS638" s="19"/>
      <c r="BT638" s="18"/>
      <c r="BU638" s="19"/>
      <c r="BV638" s="19"/>
      <c r="BW638" s="19"/>
      <c r="BX638" s="19"/>
      <c r="BY638" s="18"/>
      <c r="BZ638" s="19"/>
      <c r="CA638" s="19"/>
      <c r="CB638" s="19"/>
      <c r="CC638" s="19"/>
      <c r="CD638" s="18"/>
      <c r="CE638" s="19"/>
      <c r="CF638" s="19"/>
      <c r="CG638" s="19"/>
      <c r="CH638" s="19"/>
      <c r="CI638" s="18"/>
      <c r="CJ638" s="19"/>
      <c r="CK638" s="19"/>
      <c r="CL638" s="19"/>
      <c r="CM638" s="19"/>
      <c r="CN638" s="427"/>
      <c r="CO638" s="427"/>
      <c r="CP638" s="427"/>
      <c r="CQ638" s="427"/>
      <c r="CR638" s="427"/>
      <c r="CS638" s="427"/>
      <c r="CT638" s="14"/>
    </row>
    <row r="639" spans="1:98" s="4" customFormat="1" x14ac:dyDescent="0.3">
      <c r="A639" s="14"/>
      <c r="B639" s="292"/>
      <c r="C639" s="292"/>
      <c r="D639" s="14"/>
      <c r="E639" s="14"/>
      <c r="F639" s="293"/>
      <c r="G639" s="14"/>
      <c r="H639" s="14"/>
      <c r="I639" s="14"/>
      <c r="J639" s="14"/>
      <c r="K639" s="14"/>
      <c r="L639" s="14"/>
      <c r="M639" s="641"/>
      <c r="N639" s="590"/>
      <c r="O639" s="623"/>
      <c r="P639" s="449"/>
      <c r="Q639" s="14"/>
      <c r="R639" s="14"/>
      <c r="S639" s="14"/>
      <c r="T639" s="14"/>
      <c r="U639" s="14"/>
      <c r="V639" s="14"/>
      <c r="W639" s="14"/>
      <c r="X639" s="14"/>
      <c r="Y639" s="14"/>
      <c r="Z639" s="14"/>
      <c r="AA639" s="18"/>
      <c r="AB639" s="19"/>
      <c r="AC639" s="19"/>
      <c r="AD639" s="19"/>
      <c r="AE639" s="19"/>
      <c r="AF639" s="18"/>
      <c r="AG639" s="19"/>
      <c r="AH639" s="19"/>
      <c r="AI639" s="19"/>
      <c r="AJ639" s="19"/>
      <c r="AK639" s="18"/>
      <c r="AL639" s="19"/>
      <c r="AM639" s="19"/>
      <c r="AN639" s="19"/>
      <c r="AO639" s="19"/>
      <c r="AP639" s="18"/>
      <c r="AQ639" s="19"/>
      <c r="AR639" s="19"/>
      <c r="AS639" s="19"/>
      <c r="AT639" s="19"/>
      <c r="AU639" s="18"/>
      <c r="AV639" s="19"/>
      <c r="AW639" s="19"/>
      <c r="AX639" s="19"/>
      <c r="AY639" s="19"/>
      <c r="AZ639" s="18"/>
      <c r="BA639" s="19"/>
      <c r="BB639" s="19"/>
      <c r="BC639" s="19"/>
      <c r="BD639" s="19"/>
      <c r="BE639" s="18"/>
      <c r="BF639" s="19"/>
      <c r="BG639" s="19"/>
      <c r="BH639" s="19"/>
      <c r="BI639" s="19"/>
      <c r="BJ639" s="18"/>
      <c r="BK639" s="19"/>
      <c r="BL639" s="19"/>
      <c r="BM639" s="19"/>
      <c r="BN639" s="19"/>
      <c r="BO639" s="18"/>
      <c r="BP639" s="19"/>
      <c r="BQ639" s="19"/>
      <c r="BR639" s="19"/>
      <c r="BS639" s="19"/>
      <c r="BT639" s="18"/>
      <c r="BU639" s="19"/>
      <c r="BV639" s="19"/>
      <c r="BW639" s="19"/>
      <c r="BX639" s="19"/>
      <c r="BY639" s="18"/>
      <c r="BZ639" s="19"/>
      <c r="CA639" s="19"/>
      <c r="CB639" s="19"/>
      <c r="CC639" s="19"/>
      <c r="CD639" s="18"/>
      <c r="CE639" s="19"/>
      <c r="CF639" s="19"/>
      <c r="CG639" s="19"/>
      <c r="CH639" s="19"/>
      <c r="CI639" s="18"/>
      <c r="CJ639" s="19"/>
      <c r="CK639" s="19"/>
      <c r="CL639" s="19"/>
      <c r="CM639" s="19"/>
      <c r="CN639" s="427"/>
      <c r="CO639" s="427"/>
      <c r="CP639" s="427"/>
      <c r="CQ639" s="427"/>
      <c r="CR639" s="427"/>
      <c r="CS639" s="427"/>
      <c r="CT639" s="14"/>
    </row>
    <row r="640" spans="1:98" s="4" customFormat="1" x14ac:dyDescent="0.3">
      <c r="A640" s="14"/>
      <c r="B640" s="292"/>
      <c r="C640" s="292"/>
      <c r="D640" s="14"/>
      <c r="E640" s="14"/>
      <c r="F640" s="293"/>
      <c r="G640" s="14"/>
      <c r="H640" s="14"/>
      <c r="I640" s="14"/>
      <c r="J640" s="14"/>
      <c r="K640" s="14"/>
      <c r="L640" s="14"/>
      <c r="M640" s="641"/>
      <c r="N640" s="590"/>
      <c r="O640" s="623"/>
      <c r="P640" s="449"/>
      <c r="Q640" s="14"/>
      <c r="R640" s="14"/>
      <c r="S640" s="14"/>
      <c r="T640" s="14"/>
      <c r="U640" s="14"/>
      <c r="V640" s="14"/>
      <c r="W640" s="14"/>
      <c r="X640" s="14"/>
      <c r="Y640" s="14"/>
      <c r="Z640" s="14"/>
      <c r="AA640" s="18"/>
      <c r="AB640" s="19"/>
      <c r="AC640" s="19"/>
      <c r="AD640" s="19"/>
      <c r="AE640" s="19"/>
      <c r="AF640" s="18"/>
      <c r="AG640" s="19"/>
      <c r="AH640" s="19"/>
      <c r="AI640" s="19"/>
      <c r="AJ640" s="19"/>
      <c r="AK640" s="18"/>
      <c r="AL640" s="19"/>
      <c r="AM640" s="19"/>
      <c r="AN640" s="19"/>
      <c r="AO640" s="19"/>
      <c r="AP640" s="18"/>
      <c r="AQ640" s="19"/>
      <c r="AR640" s="19"/>
      <c r="AS640" s="19"/>
      <c r="AT640" s="19"/>
      <c r="AU640" s="18"/>
      <c r="AV640" s="19"/>
      <c r="AW640" s="19"/>
      <c r="AX640" s="19"/>
      <c r="AY640" s="19"/>
      <c r="AZ640" s="18"/>
      <c r="BA640" s="19"/>
      <c r="BB640" s="19"/>
      <c r="BC640" s="19"/>
      <c r="BD640" s="19"/>
      <c r="BE640" s="18"/>
      <c r="BF640" s="19"/>
      <c r="BG640" s="19"/>
      <c r="BH640" s="19"/>
      <c r="BI640" s="19"/>
      <c r="BJ640" s="18"/>
      <c r="BK640" s="19"/>
      <c r="BL640" s="19"/>
      <c r="BM640" s="19"/>
      <c r="BN640" s="19"/>
      <c r="BO640" s="18"/>
      <c r="BP640" s="19"/>
      <c r="BQ640" s="19"/>
      <c r="BR640" s="19"/>
      <c r="BS640" s="19"/>
      <c r="BT640" s="18"/>
      <c r="BU640" s="19"/>
      <c r="BV640" s="19"/>
      <c r="BW640" s="19"/>
      <c r="BX640" s="19"/>
      <c r="BY640" s="18"/>
      <c r="BZ640" s="19"/>
      <c r="CA640" s="19"/>
      <c r="CB640" s="19"/>
      <c r="CC640" s="19"/>
      <c r="CD640" s="18"/>
      <c r="CE640" s="19"/>
      <c r="CF640" s="19"/>
      <c r="CG640" s="19"/>
      <c r="CH640" s="19"/>
      <c r="CI640" s="18"/>
      <c r="CJ640" s="19"/>
      <c r="CK640" s="19"/>
      <c r="CL640" s="19"/>
      <c r="CM640" s="19"/>
      <c r="CN640" s="427"/>
      <c r="CO640" s="427"/>
      <c r="CP640" s="427"/>
      <c r="CQ640" s="427"/>
      <c r="CR640" s="427"/>
      <c r="CS640" s="427"/>
      <c r="CT640" s="14"/>
    </row>
    <row r="641" spans="1:98" s="4" customFormat="1" x14ac:dyDescent="0.3">
      <c r="A641" s="14"/>
      <c r="B641" s="292"/>
      <c r="C641" s="292"/>
      <c r="D641" s="14"/>
      <c r="E641" s="14"/>
      <c r="F641" s="293"/>
      <c r="G641" s="14"/>
      <c r="H641" s="14"/>
      <c r="I641" s="14"/>
      <c r="J641" s="14"/>
      <c r="K641" s="14"/>
      <c r="L641" s="14"/>
      <c r="M641" s="641"/>
      <c r="N641" s="590"/>
      <c r="O641" s="623"/>
      <c r="P641" s="449"/>
      <c r="Q641" s="14"/>
      <c r="R641" s="14"/>
      <c r="S641" s="14"/>
      <c r="T641" s="14"/>
      <c r="U641" s="14"/>
      <c r="V641" s="14"/>
      <c r="W641" s="14"/>
      <c r="X641" s="14"/>
      <c r="Y641" s="14"/>
      <c r="Z641" s="14"/>
      <c r="AA641" s="18"/>
      <c r="AB641" s="19"/>
      <c r="AC641" s="19"/>
      <c r="AD641" s="19"/>
      <c r="AE641" s="19"/>
      <c r="AF641" s="18"/>
      <c r="AG641" s="19"/>
      <c r="AH641" s="19"/>
      <c r="AI641" s="19"/>
      <c r="AJ641" s="19"/>
      <c r="AK641" s="18"/>
      <c r="AL641" s="19"/>
      <c r="AM641" s="19"/>
      <c r="AN641" s="19"/>
      <c r="AO641" s="19"/>
      <c r="AP641" s="18"/>
      <c r="AQ641" s="19"/>
      <c r="AR641" s="19"/>
      <c r="AS641" s="19"/>
      <c r="AT641" s="19"/>
      <c r="AU641" s="18"/>
      <c r="AV641" s="19"/>
      <c r="AW641" s="19"/>
      <c r="AX641" s="19"/>
      <c r="AY641" s="19"/>
      <c r="AZ641" s="18"/>
      <c r="BA641" s="19"/>
      <c r="BB641" s="19"/>
      <c r="BC641" s="19"/>
      <c r="BD641" s="19"/>
      <c r="BE641" s="18"/>
      <c r="BF641" s="19"/>
      <c r="BG641" s="19"/>
      <c r="BH641" s="19"/>
      <c r="BI641" s="19"/>
      <c r="BJ641" s="18"/>
      <c r="BK641" s="19"/>
      <c r="BL641" s="19"/>
      <c r="BM641" s="19"/>
      <c r="BN641" s="19"/>
      <c r="BO641" s="18"/>
      <c r="BP641" s="19"/>
      <c r="BQ641" s="19"/>
      <c r="BR641" s="19"/>
      <c r="BS641" s="19"/>
      <c r="BT641" s="18"/>
      <c r="BU641" s="19"/>
      <c r="BV641" s="19"/>
      <c r="BW641" s="19"/>
      <c r="BX641" s="19"/>
      <c r="BY641" s="18"/>
      <c r="BZ641" s="19"/>
      <c r="CA641" s="19"/>
      <c r="CB641" s="19"/>
      <c r="CC641" s="19"/>
      <c r="CD641" s="18"/>
      <c r="CE641" s="19"/>
      <c r="CF641" s="19"/>
      <c r="CG641" s="19"/>
      <c r="CH641" s="19"/>
      <c r="CI641" s="18"/>
      <c r="CJ641" s="19"/>
      <c r="CK641" s="19"/>
      <c r="CL641" s="19"/>
      <c r="CM641" s="19"/>
      <c r="CN641" s="427"/>
      <c r="CO641" s="427"/>
      <c r="CP641" s="427"/>
      <c r="CQ641" s="427"/>
      <c r="CR641" s="427"/>
      <c r="CS641" s="427"/>
      <c r="CT641" s="14"/>
    </row>
    <row r="642" spans="1:98" s="4" customFormat="1" x14ac:dyDescent="0.3">
      <c r="A642" s="14"/>
      <c r="B642" s="292"/>
      <c r="C642" s="292"/>
      <c r="D642" s="14"/>
      <c r="E642" s="14"/>
      <c r="F642" s="293"/>
      <c r="G642" s="14"/>
      <c r="H642" s="14"/>
      <c r="I642" s="14"/>
      <c r="J642" s="14"/>
      <c r="K642" s="14"/>
      <c r="L642" s="14"/>
      <c r="M642" s="641"/>
      <c r="N642" s="590"/>
      <c r="O642" s="623"/>
      <c r="P642" s="449"/>
      <c r="Q642" s="14"/>
      <c r="R642" s="14"/>
      <c r="S642" s="14"/>
      <c r="T642" s="14"/>
      <c r="U642" s="14"/>
      <c r="V642" s="14"/>
      <c r="W642" s="14"/>
      <c r="X642" s="14"/>
      <c r="Y642" s="14"/>
      <c r="Z642" s="14"/>
      <c r="AA642" s="18"/>
      <c r="AB642" s="19"/>
      <c r="AC642" s="19"/>
      <c r="AD642" s="19"/>
      <c r="AE642" s="19"/>
      <c r="AF642" s="18"/>
      <c r="AG642" s="19"/>
      <c r="AH642" s="19"/>
      <c r="AI642" s="19"/>
      <c r="AJ642" s="19"/>
      <c r="AK642" s="18"/>
      <c r="AL642" s="19"/>
      <c r="AM642" s="19"/>
      <c r="AN642" s="19"/>
      <c r="AO642" s="19"/>
      <c r="AP642" s="18"/>
      <c r="AQ642" s="19"/>
      <c r="AR642" s="19"/>
      <c r="AS642" s="19"/>
      <c r="AT642" s="19"/>
      <c r="AU642" s="18"/>
      <c r="AV642" s="19"/>
      <c r="AW642" s="19"/>
      <c r="AX642" s="19"/>
      <c r="AY642" s="19"/>
      <c r="AZ642" s="18"/>
      <c r="BA642" s="19"/>
      <c r="BB642" s="19"/>
      <c r="BC642" s="19"/>
      <c r="BD642" s="19"/>
      <c r="BE642" s="18"/>
      <c r="BF642" s="19"/>
      <c r="BG642" s="19"/>
      <c r="BH642" s="19"/>
      <c r="BI642" s="19"/>
      <c r="BJ642" s="18"/>
      <c r="BK642" s="19"/>
      <c r="BL642" s="19"/>
      <c r="BM642" s="19"/>
      <c r="BN642" s="19"/>
      <c r="BO642" s="18"/>
      <c r="BP642" s="19"/>
      <c r="BQ642" s="19"/>
      <c r="BR642" s="19"/>
      <c r="BS642" s="19"/>
      <c r="BT642" s="18"/>
      <c r="BU642" s="19"/>
      <c r="BV642" s="19"/>
      <c r="BW642" s="19"/>
      <c r="BX642" s="19"/>
      <c r="BY642" s="18"/>
      <c r="BZ642" s="19"/>
      <c r="CA642" s="19"/>
      <c r="CB642" s="19"/>
      <c r="CC642" s="19"/>
      <c r="CD642" s="18"/>
      <c r="CE642" s="19"/>
      <c r="CF642" s="19"/>
      <c r="CG642" s="19"/>
      <c r="CH642" s="19"/>
      <c r="CI642" s="18"/>
      <c r="CJ642" s="19"/>
      <c r="CK642" s="19"/>
      <c r="CL642" s="19"/>
      <c r="CM642" s="19"/>
      <c r="CN642" s="427"/>
      <c r="CO642" s="427"/>
      <c r="CP642" s="427"/>
      <c r="CQ642" s="427"/>
      <c r="CR642" s="427"/>
      <c r="CS642" s="427"/>
      <c r="CT642" s="14"/>
    </row>
    <row r="643" spans="1:98" s="4" customFormat="1" x14ac:dyDescent="0.3">
      <c r="A643" s="14"/>
      <c r="B643" s="292"/>
      <c r="C643" s="292"/>
      <c r="D643" s="14"/>
      <c r="E643" s="14"/>
      <c r="F643" s="293"/>
      <c r="G643" s="14"/>
      <c r="H643" s="14"/>
      <c r="I643" s="14"/>
      <c r="J643" s="14"/>
      <c r="K643" s="14"/>
      <c r="L643" s="14"/>
      <c r="M643" s="641"/>
      <c r="N643" s="590"/>
      <c r="O643" s="623"/>
      <c r="P643" s="449"/>
      <c r="Q643" s="14"/>
      <c r="R643" s="14"/>
      <c r="S643" s="14"/>
      <c r="T643" s="14"/>
      <c r="U643" s="14"/>
      <c r="V643" s="14"/>
      <c r="W643" s="14"/>
      <c r="X643" s="14"/>
      <c r="Y643" s="14"/>
      <c r="Z643" s="14"/>
      <c r="AA643" s="18"/>
      <c r="AB643" s="19"/>
      <c r="AC643" s="19"/>
      <c r="AD643" s="19"/>
      <c r="AE643" s="19"/>
      <c r="AF643" s="18"/>
      <c r="AG643" s="19"/>
      <c r="AH643" s="19"/>
      <c r="AI643" s="19"/>
      <c r="AJ643" s="19"/>
      <c r="AK643" s="18"/>
      <c r="AL643" s="19"/>
      <c r="AM643" s="19"/>
      <c r="AN643" s="19"/>
      <c r="AO643" s="19"/>
      <c r="AP643" s="18"/>
      <c r="AQ643" s="19"/>
      <c r="AR643" s="19"/>
      <c r="AS643" s="19"/>
      <c r="AT643" s="19"/>
      <c r="AU643" s="18"/>
      <c r="AV643" s="19"/>
      <c r="AW643" s="19"/>
      <c r="AX643" s="19"/>
      <c r="AY643" s="19"/>
      <c r="AZ643" s="18"/>
      <c r="BA643" s="19"/>
      <c r="BB643" s="19"/>
      <c r="BC643" s="19"/>
      <c r="BD643" s="19"/>
      <c r="BE643" s="18"/>
      <c r="BF643" s="19"/>
      <c r="BG643" s="19"/>
      <c r="BH643" s="19"/>
      <c r="BI643" s="19"/>
      <c r="BJ643" s="18"/>
      <c r="BK643" s="19"/>
      <c r="BL643" s="19"/>
      <c r="BM643" s="19"/>
      <c r="BN643" s="19"/>
      <c r="BO643" s="18"/>
      <c r="BP643" s="19"/>
      <c r="BQ643" s="19"/>
      <c r="BR643" s="19"/>
      <c r="BS643" s="19"/>
      <c r="BT643" s="18"/>
      <c r="BU643" s="19"/>
      <c r="BV643" s="19"/>
      <c r="BW643" s="19"/>
      <c r="BX643" s="19"/>
      <c r="BY643" s="18"/>
      <c r="BZ643" s="19"/>
      <c r="CA643" s="19"/>
      <c r="CB643" s="19"/>
      <c r="CC643" s="19"/>
      <c r="CD643" s="18"/>
      <c r="CE643" s="19"/>
      <c r="CF643" s="19"/>
      <c r="CG643" s="19"/>
      <c r="CH643" s="19"/>
      <c r="CI643" s="18"/>
      <c r="CJ643" s="19"/>
      <c r="CK643" s="19"/>
      <c r="CL643" s="19"/>
      <c r="CM643" s="19"/>
      <c r="CN643" s="427"/>
      <c r="CO643" s="427"/>
      <c r="CP643" s="427"/>
      <c r="CQ643" s="427"/>
      <c r="CR643" s="427"/>
      <c r="CS643" s="427"/>
      <c r="CT643" s="14"/>
    </row>
    <row r="644" spans="1:98" s="4" customFormat="1" x14ac:dyDescent="0.3">
      <c r="A644" s="14"/>
      <c r="B644" s="292"/>
      <c r="C644" s="292"/>
      <c r="D644" s="14"/>
      <c r="E644" s="14"/>
      <c r="F644" s="293"/>
      <c r="G644" s="14"/>
      <c r="H644" s="14"/>
      <c r="I644" s="14"/>
      <c r="J644" s="14"/>
      <c r="K644" s="14"/>
      <c r="L644" s="14"/>
      <c r="M644" s="641"/>
      <c r="N644" s="590"/>
      <c r="O644" s="623"/>
      <c r="P644" s="449"/>
      <c r="Q644" s="14"/>
      <c r="R644" s="14"/>
      <c r="S644" s="14"/>
      <c r="T644" s="14"/>
      <c r="U644" s="14"/>
      <c r="V644" s="14"/>
      <c r="W644" s="14"/>
      <c r="X644" s="14"/>
      <c r="Y644" s="14"/>
      <c r="Z644" s="14"/>
      <c r="AA644" s="18"/>
      <c r="AB644" s="19"/>
      <c r="AC644" s="19"/>
      <c r="AD644" s="19"/>
      <c r="AE644" s="19"/>
      <c r="AF644" s="18"/>
      <c r="AG644" s="19"/>
      <c r="AH644" s="19"/>
      <c r="AI644" s="19"/>
      <c r="AJ644" s="19"/>
      <c r="AK644" s="18"/>
      <c r="AL644" s="19"/>
      <c r="AM644" s="19"/>
      <c r="AN644" s="19"/>
      <c r="AO644" s="19"/>
      <c r="AP644" s="18"/>
      <c r="AQ644" s="19"/>
      <c r="AR644" s="19"/>
      <c r="AS644" s="19"/>
      <c r="AT644" s="19"/>
      <c r="AU644" s="18"/>
      <c r="AV644" s="19"/>
      <c r="AW644" s="19"/>
      <c r="AX644" s="19"/>
      <c r="AY644" s="19"/>
      <c r="AZ644" s="18"/>
      <c r="BA644" s="19"/>
      <c r="BB644" s="19"/>
      <c r="BC644" s="19"/>
      <c r="BD644" s="19"/>
      <c r="BE644" s="18"/>
      <c r="BF644" s="19"/>
      <c r="BG644" s="19"/>
      <c r="BH644" s="19"/>
      <c r="BI644" s="19"/>
      <c r="BJ644" s="18"/>
      <c r="BK644" s="19"/>
      <c r="BL644" s="19"/>
      <c r="BM644" s="19"/>
      <c r="BN644" s="19"/>
      <c r="BO644" s="18"/>
      <c r="BP644" s="19"/>
      <c r="BQ644" s="19"/>
      <c r="BR644" s="19"/>
      <c r="BS644" s="19"/>
      <c r="BT644" s="18"/>
      <c r="BU644" s="19"/>
      <c r="BV644" s="19"/>
      <c r="BW644" s="19"/>
      <c r="BX644" s="19"/>
      <c r="BY644" s="18"/>
      <c r="BZ644" s="19"/>
      <c r="CA644" s="19"/>
      <c r="CB644" s="19"/>
      <c r="CC644" s="19"/>
      <c r="CD644" s="18"/>
      <c r="CE644" s="19"/>
      <c r="CF644" s="19"/>
      <c r="CG644" s="19"/>
      <c r="CH644" s="19"/>
      <c r="CI644" s="18"/>
      <c r="CJ644" s="19"/>
      <c r="CK644" s="19"/>
      <c r="CL644" s="19"/>
      <c r="CM644" s="19"/>
      <c r="CN644" s="427"/>
      <c r="CO644" s="427"/>
      <c r="CP644" s="427"/>
      <c r="CQ644" s="427"/>
      <c r="CR644" s="427"/>
      <c r="CS644" s="427"/>
      <c r="CT644" s="14"/>
    </row>
    <row r="645" spans="1:98" s="4" customFormat="1" x14ac:dyDescent="0.3">
      <c r="A645" s="14"/>
      <c r="B645" s="292"/>
      <c r="C645" s="292"/>
      <c r="D645" s="14"/>
      <c r="E645" s="14"/>
      <c r="F645" s="293"/>
      <c r="G645" s="14"/>
      <c r="H645" s="14"/>
      <c r="I645" s="14"/>
      <c r="J645" s="14"/>
      <c r="K645" s="14"/>
      <c r="L645" s="14"/>
      <c r="M645" s="641"/>
      <c r="N645" s="590"/>
      <c r="O645" s="623"/>
      <c r="P645" s="449"/>
      <c r="Q645" s="14"/>
      <c r="R645" s="14"/>
      <c r="S645" s="14"/>
      <c r="T645" s="14"/>
      <c r="U645" s="14"/>
      <c r="V645" s="14"/>
      <c r="W645" s="14"/>
      <c r="X645" s="14"/>
      <c r="Y645" s="14"/>
      <c r="Z645" s="14"/>
      <c r="AA645" s="18"/>
      <c r="AB645" s="19"/>
      <c r="AC645" s="19"/>
      <c r="AD645" s="19"/>
      <c r="AE645" s="19"/>
      <c r="AF645" s="18"/>
      <c r="AG645" s="19"/>
      <c r="AH645" s="19"/>
      <c r="AI645" s="19"/>
      <c r="AJ645" s="19"/>
      <c r="AK645" s="18"/>
      <c r="AL645" s="19"/>
      <c r="AM645" s="19"/>
      <c r="AN645" s="19"/>
      <c r="AO645" s="19"/>
      <c r="AP645" s="18"/>
      <c r="AQ645" s="19"/>
      <c r="AR645" s="19"/>
      <c r="AS645" s="19"/>
      <c r="AT645" s="19"/>
      <c r="AU645" s="18"/>
      <c r="AV645" s="19"/>
      <c r="AW645" s="19"/>
      <c r="AX645" s="19"/>
      <c r="AY645" s="19"/>
      <c r="AZ645" s="18"/>
      <c r="BA645" s="19"/>
      <c r="BB645" s="19"/>
      <c r="BC645" s="19"/>
      <c r="BD645" s="19"/>
      <c r="BE645" s="18"/>
      <c r="BF645" s="19"/>
      <c r="BG645" s="19"/>
      <c r="BH645" s="19"/>
      <c r="BI645" s="19"/>
      <c r="BJ645" s="18"/>
      <c r="BK645" s="19"/>
      <c r="BL645" s="19"/>
      <c r="BM645" s="19"/>
      <c r="BN645" s="19"/>
      <c r="BO645" s="18"/>
      <c r="BP645" s="19"/>
      <c r="BQ645" s="19"/>
      <c r="BR645" s="19"/>
      <c r="BS645" s="19"/>
      <c r="BT645" s="18"/>
      <c r="BU645" s="19"/>
      <c r="BV645" s="19"/>
      <c r="BW645" s="19"/>
      <c r="BX645" s="19"/>
      <c r="BY645" s="18"/>
      <c r="BZ645" s="19"/>
      <c r="CA645" s="19"/>
      <c r="CB645" s="19"/>
      <c r="CC645" s="19"/>
      <c r="CD645" s="18"/>
      <c r="CE645" s="19"/>
      <c r="CF645" s="19"/>
      <c r="CG645" s="19"/>
      <c r="CH645" s="19"/>
      <c r="CI645" s="18"/>
      <c r="CJ645" s="19"/>
      <c r="CK645" s="19"/>
      <c r="CL645" s="19"/>
      <c r="CM645" s="19"/>
      <c r="CN645" s="427"/>
      <c r="CO645" s="427"/>
      <c r="CP645" s="427"/>
      <c r="CQ645" s="427"/>
      <c r="CR645" s="427"/>
      <c r="CS645" s="427"/>
      <c r="CT645" s="14"/>
    </row>
    <row r="646" spans="1:98" s="4" customFormat="1" x14ac:dyDescent="0.3">
      <c r="A646" s="14"/>
      <c r="B646" s="292"/>
      <c r="C646" s="292"/>
      <c r="D646" s="14"/>
      <c r="E646" s="14"/>
      <c r="F646" s="293"/>
      <c r="G646" s="14"/>
      <c r="H646" s="14"/>
      <c r="I646" s="14"/>
      <c r="J646" s="14"/>
      <c r="K646" s="14"/>
      <c r="L646" s="14"/>
      <c r="M646" s="641"/>
      <c r="N646" s="590"/>
      <c r="O646" s="623"/>
      <c r="P646" s="449"/>
      <c r="Q646" s="14"/>
      <c r="R646" s="14"/>
      <c r="S646" s="14"/>
      <c r="T646" s="14"/>
      <c r="U646" s="14"/>
      <c r="V646" s="14"/>
      <c r="W646" s="14"/>
      <c r="X646" s="14"/>
      <c r="Y646" s="14"/>
      <c r="Z646" s="14"/>
      <c r="AA646" s="18"/>
      <c r="AB646" s="19"/>
      <c r="AC646" s="19"/>
      <c r="AD646" s="19"/>
      <c r="AE646" s="19"/>
      <c r="AF646" s="18"/>
      <c r="AG646" s="19"/>
      <c r="AH646" s="19"/>
      <c r="AI646" s="19"/>
      <c r="AJ646" s="19"/>
      <c r="AK646" s="18"/>
      <c r="AL646" s="19"/>
      <c r="AM646" s="19"/>
      <c r="AN646" s="19"/>
      <c r="AO646" s="19"/>
      <c r="AP646" s="18"/>
      <c r="AQ646" s="19"/>
      <c r="AR646" s="19"/>
      <c r="AS646" s="19"/>
      <c r="AT646" s="19"/>
      <c r="AU646" s="18"/>
      <c r="AV646" s="19"/>
      <c r="AW646" s="19"/>
      <c r="AX646" s="19"/>
      <c r="AY646" s="19"/>
      <c r="AZ646" s="18"/>
      <c r="BA646" s="19"/>
      <c r="BB646" s="19"/>
      <c r="BC646" s="19"/>
      <c r="BD646" s="19"/>
      <c r="BE646" s="18"/>
      <c r="BF646" s="19"/>
      <c r="BG646" s="19"/>
      <c r="BH646" s="19"/>
      <c r="BI646" s="19"/>
      <c r="BJ646" s="18"/>
      <c r="BK646" s="19"/>
      <c r="BL646" s="19"/>
      <c r="BM646" s="19"/>
      <c r="BN646" s="19"/>
      <c r="BO646" s="18"/>
      <c r="BP646" s="19"/>
      <c r="BQ646" s="19"/>
      <c r="BR646" s="19"/>
      <c r="BS646" s="19"/>
      <c r="BT646" s="18"/>
      <c r="BU646" s="19"/>
      <c r="BV646" s="19"/>
      <c r="BW646" s="19"/>
      <c r="BX646" s="19"/>
      <c r="BY646" s="18"/>
      <c r="BZ646" s="19"/>
      <c r="CA646" s="19"/>
      <c r="CB646" s="19"/>
      <c r="CC646" s="19"/>
      <c r="CD646" s="18"/>
      <c r="CE646" s="19"/>
      <c r="CF646" s="19"/>
      <c r="CG646" s="19"/>
      <c r="CH646" s="19"/>
      <c r="CI646" s="18"/>
      <c r="CJ646" s="19"/>
      <c r="CK646" s="19"/>
      <c r="CL646" s="19"/>
      <c r="CM646" s="19"/>
      <c r="CN646" s="427"/>
      <c r="CO646" s="427"/>
      <c r="CP646" s="427"/>
      <c r="CQ646" s="427"/>
      <c r="CR646" s="427"/>
      <c r="CS646" s="427"/>
      <c r="CT646" s="14"/>
    </row>
    <row r="647" spans="1:98" s="4" customFormat="1" x14ac:dyDescent="0.3">
      <c r="A647" s="14"/>
      <c r="B647" s="292"/>
      <c r="C647" s="292"/>
      <c r="D647" s="14"/>
      <c r="E647" s="14"/>
      <c r="F647" s="293"/>
      <c r="G647" s="14"/>
      <c r="H647" s="14"/>
      <c r="I647" s="14"/>
      <c r="J647" s="14"/>
      <c r="K647" s="14"/>
      <c r="L647" s="14"/>
      <c r="M647" s="641"/>
      <c r="N647" s="590"/>
      <c r="O647" s="623"/>
      <c r="P647" s="449"/>
      <c r="Q647" s="14"/>
      <c r="R647" s="14"/>
      <c r="S647" s="14"/>
      <c r="T647" s="14"/>
      <c r="U647" s="14"/>
      <c r="V647" s="14"/>
      <c r="W647" s="14"/>
      <c r="X647" s="14"/>
      <c r="Y647" s="14"/>
      <c r="Z647" s="14"/>
      <c r="AA647" s="18"/>
      <c r="AB647" s="19"/>
      <c r="AC647" s="19"/>
      <c r="AD647" s="19"/>
      <c r="AE647" s="19"/>
      <c r="AF647" s="18"/>
      <c r="AG647" s="19"/>
      <c r="AH647" s="19"/>
      <c r="AI647" s="19"/>
      <c r="AJ647" s="19"/>
      <c r="AK647" s="18"/>
      <c r="AL647" s="19"/>
      <c r="AM647" s="19"/>
      <c r="AN647" s="19"/>
      <c r="AO647" s="19"/>
      <c r="AP647" s="18"/>
      <c r="AQ647" s="19"/>
      <c r="AR647" s="19"/>
      <c r="AS647" s="19"/>
      <c r="AT647" s="19"/>
      <c r="AU647" s="18"/>
      <c r="AV647" s="19"/>
      <c r="AW647" s="19"/>
      <c r="AX647" s="19"/>
      <c r="AY647" s="19"/>
      <c r="AZ647" s="18"/>
      <c r="BA647" s="19"/>
      <c r="BB647" s="19"/>
      <c r="BC647" s="19"/>
      <c r="BD647" s="19"/>
      <c r="BE647" s="18"/>
      <c r="BF647" s="19"/>
      <c r="BG647" s="19"/>
      <c r="BH647" s="19"/>
      <c r="BI647" s="19"/>
      <c r="BJ647" s="18"/>
      <c r="BK647" s="19"/>
      <c r="BL647" s="19"/>
      <c r="BM647" s="19"/>
      <c r="BN647" s="19"/>
      <c r="BO647" s="18"/>
      <c r="BP647" s="19"/>
      <c r="BQ647" s="19"/>
      <c r="BR647" s="19"/>
      <c r="BS647" s="19"/>
      <c r="BT647" s="18"/>
      <c r="BU647" s="19"/>
      <c r="BV647" s="19"/>
      <c r="BW647" s="19"/>
      <c r="BX647" s="19"/>
      <c r="BY647" s="18"/>
      <c r="BZ647" s="19"/>
      <c r="CA647" s="19"/>
      <c r="CB647" s="19"/>
      <c r="CC647" s="19"/>
      <c r="CD647" s="18"/>
      <c r="CE647" s="19"/>
      <c r="CF647" s="19"/>
      <c r="CG647" s="19"/>
      <c r="CH647" s="19"/>
      <c r="CI647" s="18"/>
      <c r="CJ647" s="19"/>
      <c r="CK647" s="19"/>
      <c r="CL647" s="19"/>
      <c r="CM647" s="19"/>
      <c r="CN647" s="427"/>
      <c r="CO647" s="427"/>
      <c r="CP647" s="427"/>
      <c r="CQ647" s="427"/>
      <c r="CR647" s="427"/>
      <c r="CS647" s="427"/>
      <c r="CT647" s="14"/>
    </row>
    <row r="648" spans="1:98" s="4" customFormat="1" x14ac:dyDescent="0.3">
      <c r="A648" s="14"/>
      <c r="B648" s="292"/>
      <c r="C648" s="292"/>
      <c r="D648" s="14"/>
      <c r="E648" s="14"/>
      <c r="F648" s="293"/>
      <c r="G648" s="14"/>
      <c r="H648" s="14"/>
      <c r="I648" s="14"/>
      <c r="J648" s="14"/>
      <c r="K648" s="14"/>
      <c r="L648" s="14"/>
      <c r="M648" s="641"/>
      <c r="N648" s="590"/>
      <c r="O648" s="623"/>
      <c r="P648" s="449"/>
      <c r="Q648" s="14"/>
      <c r="R648" s="14"/>
      <c r="S648" s="14"/>
      <c r="T648" s="14"/>
      <c r="U648" s="14"/>
      <c r="V648" s="14"/>
      <c r="W648" s="14"/>
      <c r="X648" s="14"/>
      <c r="Y648" s="14"/>
      <c r="Z648" s="14"/>
      <c r="AA648" s="18"/>
      <c r="AB648" s="19"/>
      <c r="AC648" s="19"/>
      <c r="AD648" s="19"/>
      <c r="AE648" s="19"/>
      <c r="AF648" s="18"/>
      <c r="AG648" s="19"/>
      <c r="AH648" s="19"/>
      <c r="AI648" s="19"/>
      <c r="AJ648" s="19"/>
      <c r="AK648" s="18"/>
      <c r="AL648" s="19"/>
      <c r="AM648" s="19"/>
      <c r="AN648" s="19"/>
      <c r="AO648" s="19"/>
      <c r="AP648" s="18"/>
      <c r="AQ648" s="19"/>
      <c r="AR648" s="19"/>
      <c r="AS648" s="19"/>
      <c r="AT648" s="19"/>
      <c r="AU648" s="18"/>
      <c r="AV648" s="19"/>
      <c r="AW648" s="19"/>
      <c r="AX648" s="19"/>
      <c r="AY648" s="19"/>
      <c r="AZ648" s="18"/>
      <c r="BA648" s="19"/>
      <c r="BB648" s="19"/>
      <c r="BC648" s="19"/>
      <c r="BD648" s="19"/>
      <c r="BE648" s="18"/>
      <c r="BF648" s="19"/>
      <c r="BG648" s="19"/>
      <c r="BH648" s="19"/>
      <c r="BI648" s="19"/>
      <c r="BJ648" s="18"/>
      <c r="BK648" s="19"/>
      <c r="BL648" s="19"/>
      <c r="BM648" s="19"/>
      <c r="BN648" s="19"/>
      <c r="BO648" s="18"/>
      <c r="BP648" s="19"/>
      <c r="BQ648" s="19"/>
      <c r="BR648" s="19"/>
      <c r="BS648" s="19"/>
      <c r="BT648" s="18"/>
      <c r="BU648" s="19"/>
      <c r="BV648" s="19"/>
      <c r="BW648" s="19"/>
      <c r="BX648" s="19"/>
      <c r="BY648" s="18"/>
      <c r="BZ648" s="19"/>
      <c r="CA648" s="19"/>
      <c r="CB648" s="19"/>
      <c r="CC648" s="19"/>
      <c r="CD648" s="18"/>
      <c r="CE648" s="19"/>
      <c r="CF648" s="19"/>
      <c r="CG648" s="19"/>
      <c r="CH648" s="19"/>
      <c r="CI648" s="18"/>
      <c r="CJ648" s="19"/>
      <c r="CK648" s="19"/>
      <c r="CL648" s="19"/>
      <c r="CM648" s="19"/>
      <c r="CN648" s="427"/>
      <c r="CO648" s="427"/>
      <c r="CP648" s="427"/>
      <c r="CQ648" s="427"/>
      <c r="CR648" s="427"/>
      <c r="CS648" s="427"/>
      <c r="CT648" s="14"/>
    </row>
    <row r="649" spans="1:98" s="4" customFormat="1" x14ac:dyDescent="0.3">
      <c r="A649" s="14"/>
      <c r="B649" s="292"/>
      <c r="C649" s="292"/>
      <c r="D649" s="14"/>
      <c r="E649" s="14"/>
      <c r="F649" s="293"/>
      <c r="G649" s="14"/>
      <c r="H649" s="14"/>
      <c r="I649" s="14"/>
      <c r="J649" s="14"/>
      <c r="K649" s="14"/>
      <c r="L649" s="14"/>
      <c r="M649" s="641"/>
      <c r="N649" s="590"/>
      <c r="O649" s="623"/>
      <c r="P649" s="449"/>
      <c r="Q649" s="14"/>
      <c r="R649" s="14"/>
      <c r="S649" s="14"/>
      <c r="T649" s="14"/>
      <c r="U649" s="14"/>
      <c r="V649" s="14"/>
      <c r="W649" s="14"/>
      <c r="X649" s="14"/>
      <c r="Y649" s="14"/>
      <c r="Z649" s="14"/>
      <c r="AA649" s="18"/>
      <c r="AB649" s="19"/>
      <c r="AC649" s="19"/>
      <c r="AD649" s="19"/>
      <c r="AE649" s="19"/>
      <c r="AF649" s="18"/>
      <c r="AG649" s="19"/>
      <c r="AH649" s="19"/>
      <c r="AI649" s="19"/>
      <c r="AJ649" s="19"/>
      <c r="AK649" s="18"/>
      <c r="AL649" s="19"/>
      <c r="AM649" s="19"/>
      <c r="AN649" s="19"/>
      <c r="AO649" s="19"/>
      <c r="AP649" s="18"/>
      <c r="AQ649" s="19"/>
      <c r="AR649" s="19"/>
      <c r="AS649" s="19"/>
      <c r="AT649" s="19"/>
      <c r="AU649" s="18"/>
      <c r="AV649" s="19"/>
      <c r="AW649" s="19"/>
      <c r="AX649" s="19"/>
      <c r="AY649" s="19"/>
      <c r="AZ649" s="18"/>
      <c r="BA649" s="19"/>
      <c r="BB649" s="19"/>
      <c r="BC649" s="19"/>
      <c r="BD649" s="19"/>
      <c r="BE649" s="18"/>
      <c r="BF649" s="19"/>
      <c r="BG649" s="19"/>
      <c r="BH649" s="19"/>
      <c r="BI649" s="19"/>
      <c r="BJ649" s="18"/>
      <c r="BK649" s="19"/>
      <c r="BL649" s="19"/>
      <c r="BM649" s="19"/>
      <c r="BN649" s="19"/>
      <c r="BO649" s="18"/>
      <c r="BP649" s="19"/>
      <c r="BQ649" s="19"/>
      <c r="BR649" s="19"/>
      <c r="BS649" s="19"/>
      <c r="BT649" s="18"/>
      <c r="BU649" s="19"/>
      <c r="BV649" s="19"/>
      <c r="BW649" s="19"/>
      <c r="BX649" s="19"/>
      <c r="BY649" s="18"/>
      <c r="BZ649" s="19"/>
      <c r="CA649" s="19"/>
      <c r="CB649" s="19"/>
      <c r="CC649" s="19"/>
      <c r="CD649" s="18"/>
      <c r="CE649" s="19"/>
      <c r="CF649" s="19"/>
      <c r="CG649" s="19"/>
      <c r="CH649" s="19"/>
      <c r="CI649" s="18"/>
      <c r="CJ649" s="19"/>
      <c r="CK649" s="19"/>
      <c r="CL649" s="19"/>
      <c r="CM649" s="19"/>
      <c r="CN649" s="427"/>
      <c r="CO649" s="427"/>
      <c r="CP649" s="427"/>
      <c r="CQ649" s="427"/>
      <c r="CR649" s="427"/>
      <c r="CS649" s="427"/>
      <c r="CT649" s="14"/>
    </row>
    <row r="650" spans="1:98" s="4" customFormat="1" x14ac:dyDescent="0.3">
      <c r="A650" s="14"/>
      <c r="B650" s="292"/>
      <c r="C650" s="292"/>
      <c r="D650" s="14"/>
      <c r="E650" s="14"/>
      <c r="F650" s="293"/>
      <c r="G650" s="14"/>
      <c r="H650" s="14"/>
      <c r="I650" s="14"/>
      <c r="J650" s="14"/>
      <c r="K650" s="14"/>
      <c r="L650" s="14"/>
      <c r="M650" s="641"/>
      <c r="N650" s="590"/>
      <c r="O650" s="623"/>
      <c r="P650" s="449"/>
      <c r="Q650" s="14"/>
      <c r="R650" s="14"/>
      <c r="S650" s="14"/>
      <c r="T650" s="14"/>
      <c r="U650" s="14"/>
      <c r="V650" s="14"/>
      <c r="W650" s="14"/>
      <c r="X650" s="14"/>
      <c r="Y650" s="14"/>
      <c r="Z650" s="14"/>
      <c r="AA650" s="18"/>
      <c r="AB650" s="19"/>
      <c r="AC650" s="19"/>
      <c r="AD650" s="19"/>
      <c r="AE650" s="19"/>
      <c r="AF650" s="18"/>
      <c r="AG650" s="19"/>
      <c r="AH650" s="19"/>
      <c r="AI650" s="19"/>
      <c r="AJ650" s="19"/>
      <c r="AK650" s="18"/>
      <c r="AL650" s="19"/>
      <c r="AM650" s="19"/>
      <c r="AN650" s="19"/>
      <c r="AO650" s="19"/>
      <c r="AP650" s="18"/>
      <c r="AQ650" s="19"/>
      <c r="AR650" s="19"/>
      <c r="AS650" s="19"/>
      <c r="AT650" s="19"/>
      <c r="AU650" s="18"/>
      <c r="AV650" s="19"/>
      <c r="AW650" s="19"/>
      <c r="AX650" s="19"/>
      <c r="AY650" s="19"/>
      <c r="AZ650" s="18"/>
      <c r="BA650" s="19"/>
      <c r="BB650" s="19"/>
      <c r="BC650" s="19"/>
      <c r="BD650" s="19"/>
      <c r="BE650" s="18"/>
      <c r="BF650" s="19"/>
      <c r="BG650" s="19"/>
      <c r="BH650" s="19"/>
      <c r="BI650" s="19"/>
      <c r="BJ650" s="18"/>
      <c r="BK650" s="19"/>
      <c r="BL650" s="19"/>
      <c r="BM650" s="19"/>
      <c r="BN650" s="19"/>
      <c r="BO650" s="18"/>
      <c r="BP650" s="19"/>
      <c r="BQ650" s="19"/>
      <c r="BR650" s="19"/>
      <c r="BS650" s="19"/>
      <c r="BT650" s="18"/>
      <c r="BU650" s="19"/>
      <c r="BV650" s="19"/>
      <c r="BW650" s="19"/>
      <c r="BX650" s="19"/>
      <c r="BY650" s="18"/>
      <c r="BZ650" s="19"/>
      <c r="CA650" s="19"/>
      <c r="CB650" s="19"/>
      <c r="CC650" s="19"/>
      <c r="CD650" s="18"/>
      <c r="CE650" s="19"/>
      <c r="CF650" s="19"/>
      <c r="CG650" s="19"/>
      <c r="CH650" s="19"/>
      <c r="CI650" s="18"/>
      <c r="CJ650" s="19"/>
      <c r="CK650" s="19"/>
      <c r="CL650" s="19"/>
      <c r="CM650" s="19"/>
      <c r="CN650" s="427"/>
      <c r="CO650" s="427"/>
      <c r="CP650" s="427"/>
      <c r="CQ650" s="427"/>
      <c r="CR650" s="427"/>
      <c r="CS650" s="427"/>
      <c r="CT650" s="14"/>
    </row>
    <row r="651" spans="1:98" s="4" customFormat="1" x14ac:dyDescent="0.3">
      <c r="A651" s="14"/>
      <c r="B651" s="292"/>
      <c r="C651" s="292"/>
      <c r="D651" s="14"/>
      <c r="E651" s="14"/>
      <c r="F651" s="293"/>
      <c r="G651" s="14"/>
      <c r="H651" s="14"/>
      <c r="I651" s="14"/>
      <c r="J651" s="14"/>
      <c r="K651" s="14"/>
      <c r="L651" s="14"/>
      <c r="M651" s="641"/>
      <c r="N651" s="590"/>
      <c r="O651" s="623"/>
      <c r="P651" s="449"/>
      <c r="Q651" s="14"/>
      <c r="R651" s="14"/>
      <c r="S651" s="14"/>
      <c r="T651" s="14"/>
      <c r="U651" s="14"/>
      <c r="V651" s="14"/>
      <c r="W651" s="14"/>
      <c r="X651" s="14"/>
      <c r="Y651" s="14"/>
      <c r="Z651" s="14"/>
      <c r="AA651" s="18"/>
      <c r="AB651" s="19"/>
      <c r="AC651" s="19"/>
      <c r="AD651" s="19"/>
      <c r="AE651" s="19"/>
      <c r="AF651" s="18"/>
      <c r="AG651" s="19"/>
      <c r="AH651" s="19"/>
      <c r="AI651" s="19"/>
      <c r="AJ651" s="19"/>
      <c r="AK651" s="18"/>
      <c r="AL651" s="19"/>
      <c r="AM651" s="19"/>
      <c r="AN651" s="19"/>
      <c r="AO651" s="19"/>
      <c r="AP651" s="18"/>
      <c r="AQ651" s="19"/>
      <c r="AR651" s="19"/>
      <c r="AS651" s="19"/>
      <c r="AT651" s="19"/>
      <c r="AU651" s="18"/>
      <c r="AV651" s="19"/>
      <c r="AW651" s="19"/>
      <c r="AX651" s="19"/>
      <c r="AY651" s="19"/>
      <c r="AZ651" s="18"/>
      <c r="BA651" s="19"/>
      <c r="BB651" s="19"/>
      <c r="BC651" s="19"/>
      <c r="BD651" s="19"/>
      <c r="BE651" s="18"/>
      <c r="BF651" s="19"/>
      <c r="BG651" s="19"/>
      <c r="BH651" s="19"/>
      <c r="BI651" s="19"/>
      <c r="BJ651" s="18"/>
      <c r="BK651" s="19"/>
      <c r="BL651" s="19"/>
      <c r="BM651" s="19"/>
      <c r="BN651" s="19"/>
      <c r="BO651" s="18"/>
      <c r="BP651" s="19"/>
      <c r="BQ651" s="19"/>
      <c r="BR651" s="19"/>
      <c r="BS651" s="19"/>
      <c r="BT651" s="18"/>
      <c r="BU651" s="19"/>
      <c r="BV651" s="19"/>
      <c r="BW651" s="19"/>
      <c r="BX651" s="19"/>
      <c r="BY651" s="18"/>
      <c r="BZ651" s="19"/>
      <c r="CA651" s="19"/>
      <c r="CB651" s="19"/>
      <c r="CC651" s="19"/>
      <c r="CD651" s="18"/>
      <c r="CE651" s="19"/>
      <c r="CF651" s="19"/>
      <c r="CG651" s="19"/>
      <c r="CH651" s="19"/>
      <c r="CI651" s="18"/>
      <c r="CJ651" s="19"/>
      <c r="CK651" s="19"/>
      <c r="CL651" s="19"/>
      <c r="CM651" s="19"/>
      <c r="CN651" s="427"/>
      <c r="CO651" s="427"/>
      <c r="CP651" s="427"/>
      <c r="CQ651" s="427"/>
      <c r="CR651" s="427"/>
      <c r="CS651" s="427"/>
      <c r="CT651" s="14"/>
    </row>
    <row r="652" spans="1:98" s="4" customFormat="1" x14ac:dyDescent="0.3">
      <c r="A652" s="14"/>
      <c r="B652" s="292"/>
      <c r="C652" s="292"/>
      <c r="D652" s="14"/>
      <c r="E652" s="14"/>
      <c r="F652" s="293"/>
      <c r="G652" s="14"/>
      <c r="H652" s="14"/>
      <c r="I652" s="14"/>
      <c r="J652" s="14"/>
      <c r="K652" s="14"/>
      <c r="L652" s="14"/>
      <c r="M652" s="641"/>
      <c r="N652" s="590"/>
      <c r="O652" s="623"/>
      <c r="P652" s="449"/>
      <c r="Q652" s="14"/>
      <c r="R652" s="14"/>
      <c r="S652" s="14"/>
      <c r="T652" s="14"/>
      <c r="U652" s="14"/>
      <c r="V652" s="14"/>
      <c r="W652" s="14"/>
      <c r="X652" s="14"/>
      <c r="Y652" s="14"/>
      <c r="Z652" s="14"/>
      <c r="AA652" s="18"/>
      <c r="AB652" s="19"/>
      <c r="AC652" s="19"/>
      <c r="AD652" s="19"/>
      <c r="AE652" s="19"/>
      <c r="AF652" s="18"/>
      <c r="AG652" s="19"/>
      <c r="AH652" s="19"/>
      <c r="AI652" s="19"/>
      <c r="AJ652" s="19"/>
      <c r="AK652" s="18"/>
      <c r="AL652" s="19"/>
      <c r="AM652" s="19"/>
      <c r="AN652" s="19"/>
      <c r="AO652" s="19"/>
      <c r="AP652" s="18"/>
      <c r="AQ652" s="19"/>
      <c r="AR652" s="19"/>
      <c r="AS652" s="19"/>
      <c r="AT652" s="19"/>
      <c r="AU652" s="18"/>
      <c r="AV652" s="19"/>
      <c r="AW652" s="19"/>
      <c r="AX652" s="19"/>
      <c r="AY652" s="19"/>
      <c r="AZ652" s="18"/>
      <c r="BA652" s="19"/>
      <c r="BB652" s="19"/>
      <c r="BC652" s="19"/>
      <c r="BD652" s="19"/>
      <c r="BE652" s="18"/>
      <c r="BF652" s="19"/>
      <c r="BG652" s="19"/>
      <c r="BH652" s="19"/>
      <c r="BI652" s="19"/>
      <c r="BJ652" s="18"/>
      <c r="BK652" s="19"/>
      <c r="BL652" s="19"/>
      <c r="BM652" s="19"/>
      <c r="BN652" s="19"/>
      <c r="BO652" s="18"/>
      <c r="BP652" s="19"/>
      <c r="BQ652" s="19"/>
      <c r="BR652" s="19"/>
      <c r="BS652" s="19"/>
      <c r="BT652" s="18"/>
      <c r="BU652" s="19"/>
      <c r="BV652" s="19"/>
      <c r="BW652" s="19"/>
      <c r="BX652" s="19"/>
      <c r="BY652" s="18"/>
      <c r="BZ652" s="19"/>
      <c r="CA652" s="19"/>
      <c r="CB652" s="19"/>
      <c r="CC652" s="19"/>
      <c r="CD652" s="18"/>
      <c r="CE652" s="19"/>
      <c r="CF652" s="19"/>
      <c r="CG652" s="19"/>
      <c r="CH652" s="19"/>
      <c r="CI652" s="18"/>
      <c r="CJ652" s="19"/>
      <c r="CK652" s="19"/>
      <c r="CL652" s="19"/>
      <c r="CM652" s="19"/>
      <c r="CN652" s="427"/>
      <c r="CO652" s="427"/>
      <c r="CP652" s="427"/>
      <c r="CQ652" s="427"/>
      <c r="CR652" s="427"/>
      <c r="CS652" s="427"/>
      <c r="CT652" s="14"/>
    </row>
    <row r="653" spans="1:98" s="4" customFormat="1" x14ac:dyDescent="0.3">
      <c r="A653" s="14"/>
      <c r="B653" s="292"/>
      <c r="C653" s="292"/>
      <c r="D653" s="14"/>
      <c r="E653" s="14"/>
      <c r="F653" s="293"/>
      <c r="G653" s="14"/>
      <c r="H653" s="14"/>
      <c r="I653" s="14"/>
      <c r="J653" s="14"/>
      <c r="K653" s="14"/>
      <c r="L653" s="14"/>
      <c r="M653" s="641"/>
      <c r="N653" s="590"/>
      <c r="O653" s="623"/>
      <c r="P653" s="449"/>
      <c r="Q653" s="14"/>
      <c r="R653" s="14"/>
      <c r="S653" s="14"/>
      <c r="T653" s="14"/>
      <c r="U653" s="14"/>
      <c r="V653" s="14"/>
      <c r="W653" s="14"/>
      <c r="X653" s="14"/>
      <c r="Y653" s="14"/>
      <c r="Z653" s="14"/>
      <c r="AA653" s="18"/>
      <c r="AB653" s="19"/>
      <c r="AC653" s="19"/>
      <c r="AD653" s="19"/>
      <c r="AE653" s="19"/>
      <c r="AF653" s="18"/>
      <c r="AG653" s="19"/>
      <c r="AH653" s="19"/>
      <c r="AI653" s="19"/>
      <c r="AJ653" s="19"/>
      <c r="AK653" s="18"/>
      <c r="AL653" s="19"/>
      <c r="AM653" s="19"/>
      <c r="AN653" s="19"/>
      <c r="AO653" s="19"/>
      <c r="AP653" s="18"/>
      <c r="AQ653" s="19"/>
      <c r="AR653" s="19"/>
      <c r="AS653" s="19"/>
      <c r="AT653" s="19"/>
      <c r="AU653" s="18"/>
      <c r="AV653" s="19"/>
      <c r="AW653" s="19"/>
      <c r="AX653" s="19"/>
      <c r="AY653" s="19"/>
      <c r="AZ653" s="18"/>
      <c r="BA653" s="19"/>
      <c r="BB653" s="19"/>
      <c r="BC653" s="19"/>
      <c r="BD653" s="19"/>
      <c r="BE653" s="18"/>
      <c r="BF653" s="19"/>
      <c r="BG653" s="19"/>
      <c r="BH653" s="19"/>
      <c r="BI653" s="19"/>
      <c r="BJ653" s="18"/>
      <c r="BK653" s="19"/>
      <c r="BL653" s="19"/>
      <c r="BM653" s="19"/>
      <c r="BN653" s="19"/>
      <c r="BO653" s="18"/>
      <c r="BP653" s="19"/>
      <c r="BQ653" s="19"/>
      <c r="BR653" s="19"/>
      <c r="BS653" s="19"/>
      <c r="BT653" s="18"/>
      <c r="BU653" s="19"/>
      <c r="BV653" s="19"/>
      <c r="BW653" s="19"/>
      <c r="BX653" s="19"/>
      <c r="BY653" s="18"/>
      <c r="BZ653" s="19"/>
      <c r="CA653" s="19"/>
      <c r="CB653" s="19"/>
      <c r="CC653" s="19"/>
      <c r="CD653" s="18"/>
      <c r="CE653" s="19"/>
      <c r="CF653" s="19"/>
      <c r="CG653" s="19"/>
      <c r="CH653" s="19"/>
      <c r="CI653" s="18"/>
      <c r="CJ653" s="19"/>
      <c r="CK653" s="19"/>
      <c r="CL653" s="19"/>
      <c r="CM653" s="19"/>
      <c r="CN653" s="427"/>
      <c r="CO653" s="427"/>
      <c r="CP653" s="427"/>
      <c r="CQ653" s="427"/>
      <c r="CR653" s="427"/>
      <c r="CS653" s="427"/>
      <c r="CT653" s="14"/>
    </row>
    <row r="654" spans="1:98" s="4" customFormat="1" x14ac:dyDescent="0.3">
      <c r="A654" s="14"/>
      <c r="B654" s="292"/>
      <c r="C654" s="292"/>
      <c r="D654" s="14"/>
      <c r="E654" s="14"/>
      <c r="F654" s="293"/>
      <c r="G654" s="14"/>
      <c r="H654" s="14"/>
      <c r="I654" s="14"/>
      <c r="J654" s="14"/>
      <c r="K654" s="14"/>
      <c r="L654" s="14"/>
      <c r="M654" s="641"/>
      <c r="N654" s="590"/>
      <c r="O654" s="623"/>
      <c r="P654" s="449"/>
      <c r="Q654" s="14"/>
      <c r="R654" s="14"/>
      <c r="S654" s="14"/>
      <c r="T654" s="14"/>
      <c r="U654" s="14"/>
      <c r="V654" s="14"/>
      <c r="W654" s="14"/>
      <c r="X654" s="14"/>
      <c r="Y654" s="14"/>
      <c r="Z654" s="14"/>
      <c r="AA654" s="18"/>
      <c r="AB654" s="19"/>
      <c r="AC654" s="19"/>
      <c r="AD654" s="19"/>
      <c r="AE654" s="19"/>
      <c r="AF654" s="18"/>
      <c r="AG654" s="19"/>
      <c r="AH654" s="19"/>
      <c r="AI654" s="19"/>
      <c r="AJ654" s="19"/>
      <c r="AK654" s="18"/>
      <c r="AL654" s="19"/>
      <c r="AM654" s="19"/>
      <c r="AN654" s="19"/>
      <c r="AO654" s="19"/>
      <c r="AP654" s="18"/>
      <c r="AQ654" s="19"/>
      <c r="AR654" s="19"/>
      <c r="AS654" s="19"/>
      <c r="AT654" s="19"/>
      <c r="AU654" s="18"/>
      <c r="AV654" s="19"/>
      <c r="AW654" s="19"/>
      <c r="AX654" s="19"/>
      <c r="AY654" s="19"/>
      <c r="AZ654" s="18"/>
      <c r="BA654" s="19"/>
      <c r="BB654" s="19"/>
      <c r="BC654" s="19"/>
      <c r="BD654" s="19"/>
      <c r="BE654" s="18"/>
      <c r="BF654" s="19"/>
      <c r="BG654" s="19"/>
      <c r="BH654" s="19"/>
      <c r="BI654" s="19"/>
      <c r="BJ654" s="18"/>
      <c r="BK654" s="19"/>
      <c r="BL654" s="19"/>
      <c r="BM654" s="19"/>
      <c r="BN654" s="19"/>
      <c r="BO654" s="18"/>
      <c r="BP654" s="19"/>
      <c r="BQ654" s="19"/>
      <c r="BR654" s="19"/>
      <c r="BS654" s="19"/>
      <c r="BT654" s="18"/>
      <c r="BU654" s="19"/>
      <c r="BV654" s="19"/>
      <c r="BW654" s="19"/>
      <c r="BX654" s="19"/>
      <c r="BY654" s="18"/>
      <c r="BZ654" s="19"/>
      <c r="CA654" s="19"/>
      <c r="CB654" s="19"/>
      <c r="CC654" s="19"/>
      <c r="CD654" s="18"/>
      <c r="CE654" s="19"/>
      <c r="CF654" s="19"/>
      <c r="CG654" s="19"/>
      <c r="CH654" s="19"/>
      <c r="CI654" s="18"/>
      <c r="CJ654" s="19"/>
      <c r="CK654" s="19"/>
      <c r="CL654" s="19"/>
      <c r="CM654" s="19"/>
      <c r="CN654" s="427"/>
      <c r="CO654" s="427"/>
      <c r="CP654" s="427"/>
      <c r="CQ654" s="427"/>
      <c r="CR654" s="427"/>
      <c r="CS654" s="427"/>
      <c r="CT654" s="14"/>
    </row>
    <row r="655" spans="1:98" s="4" customFormat="1" x14ac:dyDescent="0.3">
      <c r="A655" s="14"/>
      <c r="B655" s="292"/>
      <c r="C655" s="292"/>
      <c r="D655" s="14"/>
      <c r="E655" s="14"/>
      <c r="F655" s="293"/>
      <c r="G655" s="14"/>
      <c r="H655" s="14"/>
      <c r="I655" s="14"/>
      <c r="J655" s="14"/>
      <c r="K655" s="14"/>
      <c r="L655" s="14"/>
      <c r="M655" s="641"/>
      <c r="N655" s="590"/>
      <c r="O655" s="623"/>
      <c r="P655" s="449"/>
      <c r="Q655" s="14"/>
      <c r="R655" s="14"/>
      <c r="S655" s="14"/>
      <c r="T655" s="14"/>
      <c r="U655" s="14"/>
      <c r="V655" s="14"/>
      <c r="W655" s="14"/>
      <c r="X655" s="14"/>
      <c r="Y655" s="14"/>
      <c r="Z655" s="14"/>
      <c r="AA655" s="18"/>
      <c r="AB655" s="19"/>
      <c r="AC655" s="19"/>
      <c r="AD655" s="19"/>
      <c r="AE655" s="19"/>
      <c r="AF655" s="18"/>
      <c r="AG655" s="19"/>
      <c r="AH655" s="19"/>
      <c r="AI655" s="19"/>
      <c r="AJ655" s="19"/>
      <c r="AK655" s="18"/>
      <c r="AL655" s="19"/>
      <c r="AM655" s="19"/>
      <c r="AN655" s="19"/>
      <c r="AO655" s="19"/>
      <c r="AP655" s="18"/>
      <c r="AQ655" s="19"/>
      <c r="AR655" s="19"/>
      <c r="AS655" s="19"/>
      <c r="AT655" s="19"/>
      <c r="AU655" s="18"/>
      <c r="AV655" s="19"/>
      <c r="AW655" s="19"/>
      <c r="AX655" s="19"/>
      <c r="AY655" s="19"/>
      <c r="AZ655" s="18"/>
      <c r="BA655" s="19"/>
      <c r="BB655" s="19"/>
      <c r="BC655" s="19"/>
      <c r="BD655" s="19"/>
      <c r="BE655" s="18"/>
      <c r="BF655" s="19"/>
      <c r="BG655" s="19"/>
      <c r="BH655" s="19"/>
      <c r="BI655" s="19"/>
      <c r="BJ655" s="18"/>
      <c r="BK655" s="19"/>
      <c r="BL655" s="19"/>
      <c r="BM655" s="19"/>
      <c r="BN655" s="19"/>
      <c r="BO655" s="18"/>
      <c r="BP655" s="19"/>
      <c r="BQ655" s="19"/>
      <c r="BR655" s="19"/>
      <c r="BS655" s="19"/>
      <c r="BT655" s="18"/>
      <c r="BU655" s="19"/>
      <c r="BV655" s="19"/>
      <c r="BW655" s="19"/>
      <c r="BX655" s="19"/>
      <c r="BY655" s="18"/>
      <c r="BZ655" s="19"/>
      <c r="CA655" s="19"/>
      <c r="CB655" s="19"/>
      <c r="CC655" s="19"/>
      <c r="CD655" s="18"/>
      <c r="CE655" s="19"/>
      <c r="CF655" s="19"/>
      <c r="CG655" s="19"/>
      <c r="CH655" s="19"/>
      <c r="CI655" s="18"/>
      <c r="CJ655" s="19"/>
      <c r="CK655" s="19"/>
      <c r="CL655" s="19"/>
      <c r="CM655" s="19"/>
      <c r="CN655" s="427"/>
      <c r="CO655" s="427"/>
      <c r="CP655" s="427"/>
      <c r="CQ655" s="427"/>
      <c r="CR655" s="427"/>
      <c r="CS655" s="427"/>
      <c r="CT655" s="14"/>
    </row>
    <row r="656" spans="1:98" s="4" customFormat="1" x14ac:dyDescent="0.3">
      <c r="A656" s="14"/>
      <c r="B656" s="292"/>
      <c r="C656" s="292"/>
      <c r="D656" s="14"/>
      <c r="E656" s="14"/>
      <c r="F656" s="293"/>
      <c r="G656" s="14"/>
      <c r="H656" s="14"/>
      <c r="I656" s="14"/>
      <c r="J656" s="14"/>
      <c r="K656" s="14"/>
      <c r="L656" s="14"/>
      <c r="M656" s="641"/>
      <c r="N656" s="590"/>
      <c r="O656" s="623"/>
      <c r="P656" s="449"/>
      <c r="Q656" s="14"/>
      <c r="R656" s="14"/>
      <c r="S656" s="14"/>
      <c r="T656" s="14"/>
      <c r="U656" s="14"/>
      <c r="V656" s="14"/>
      <c r="W656" s="14"/>
      <c r="X656" s="14"/>
      <c r="Y656" s="14"/>
      <c r="Z656" s="14"/>
      <c r="AA656" s="18"/>
      <c r="AB656" s="19"/>
      <c r="AC656" s="19"/>
      <c r="AD656" s="19"/>
      <c r="AE656" s="19"/>
      <c r="AF656" s="18"/>
      <c r="AG656" s="19"/>
      <c r="AH656" s="19"/>
      <c r="AI656" s="19"/>
      <c r="AJ656" s="19"/>
      <c r="AK656" s="18"/>
      <c r="AL656" s="19"/>
      <c r="AM656" s="19"/>
      <c r="AN656" s="19"/>
      <c r="AO656" s="19"/>
      <c r="AP656" s="18"/>
      <c r="AQ656" s="19"/>
      <c r="AR656" s="19"/>
      <c r="AS656" s="19"/>
      <c r="AT656" s="19"/>
      <c r="AU656" s="18"/>
      <c r="AV656" s="19"/>
      <c r="AW656" s="19"/>
      <c r="AX656" s="19"/>
      <c r="AY656" s="19"/>
      <c r="AZ656" s="18"/>
      <c r="BA656" s="19"/>
      <c r="BB656" s="19"/>
      <c r="BC656" s="19"/>
      <c r="BD656" s="19"/>
      <c r="BE656" s="18"/>
      <c r="BF656" s="19"/>
      <c r="BG656" s="19"/>
      <c r="BH656" s="19"/>
      <c r="BI656" s="19"/>
      <c r="BJ656" s="18"/>
      <c r="BK656" s="19"/>
      <c r="BL656" s="19"/>
      <c r="BM656" s="19"/>
      <c r="BN656" s="19"/>
      <c r="BO656" s="18"/>
      <c r="BP656" s="19"/>
      <c r="BQ656" s="19"/>
      <c r="BR656" s="19"/>
      <c r="BS656" s="19"/>
      <c r="BT656" s="18"/>
      <c r="BU656" s="19"/>
      <c r="BV656" s="19"/>
      <c r="BW656" s="19"/>
      <c r="BX656" s="19"/>
      <c r="BY656" s="18"/>
      <c r="BZ656" s="19"/>
      <c r="CA656" s="19"/>
      <c r="CB656" s="19"/>
      <c r="CC656" s="19"/>
      <c r="CD656" s="18"/>
      <c r="CE656" s="19"/>
      <c r="CF656" s="19"/>
      <c r="CG656" s="19"/>
      <c r="CH656" s="19"/>
      <c r="CI656" s="18"/>
      <c r="CJ656" s="19"/>
      <c r="CK656" s="19"/>
      <c r="CL656" s="19"/>
      <c r="CM656" s="19"/>
      <c r="CN656" s="427"/>
      <c r="CO656" s="427"/>
      <c r="CP656" s="427"/>
      <c r="CQ656" s="427"/>
      <c r="CR656" s="427"/>
      <c r="CS656" s="427"/>
      <c r="CT656" s="14"/>
    </row>
    <row r="657" spans="1:98" s="4" customFormat="1" x14ac:dyDescent="0.3">
      <c r="A657" s="14"/>
      <c r="B657" s="292"/>
      <c r="C657" s="292"/>
      <c r="D657" s="14"/>
      <c r="E657" s="14"/>
      <c r="F657" s="293"/>
      <c r="G657" s="14"/>
      <c r="H657" s="14"/>
      <c r="I657" s="14"/>
      <c r="J657" s="14"/>
      <c r="K657" s="14"/>
      <c r="L657" s="14"/>
      <c r="M657" s="641"/>
      <c r="N657" s="590"/>
      <c r="O657" s="623"/>
      <c r="P657" s="449"/>
      <c r="Q657" s="14"/>
      <c r="R657" s="14"/>
      <c r="S657" s="14"/>
      <c r="T657" s="14"/>
      <c r="U657" s="14"/>
      <c r="V657" s="14"/>
      <c r="W657" s="14"/>
      <c r="X657" s="14"/>
      <c r="Y657" s="14"/>
      <c r="Z657" s="14"/>
      <c r="AA657" s="18"/>
      <c r="AB657" s="19"/>
      <c r="AC657" s="19"/>
      <c r="AD657" s="19"/>
      <c r="AE657" s="19"/>
      <c r="AF657" s="18"/>
      <c r="AG657" s="19"/>
      <c r="AH657" s="19"/>
      <c r="AI657" s="19"/>
      <c r="AJ657" s="19"/>
      <c r="AK657" s="18"/>
      <c r="AL657" s="19"/>
      <c r="AM657" s="19"/>
      <c r="AN657" s="19"/>
      <c r="AO657" s="19"/>
      <c r="AP657" s="18"/>
      <c r="AQ657" s="19"/>
      <c r="AR657" s="19"/>
      <c r="AS657" s="19"/>
      <c r="AT657" s="19"/>
      <c r="AU657" s="18"/>
      <c r="AV657" s="19"/>
      <c r="AW657" s="19"/>
      <c r="AX657" s="19"/>
      <c r="AY657" s="19"/>
      <c r="AZ657" s="18"/>
      <c r="BA657" s="19"/>
      <c r="BB657" s="19"/>
      <c r="BC657" s="19"/>
      <c r="BD657" s="19"/>
      <c r="BE657" s="18"/>
      <c r="BF657" s="19"/>
      <c r="BG657" s="19"/>
      <c r="BH657" s="19"/>
      <c r="BI657" s="19"/>
      <c r="BJ657" s="18"/>
      <c r="BK657" s="19"/>
      <c r="BL657" s="19"/>
      <c r="BM657" s="19"/>
      <c r="BN657" s="19"/>
      <c r="BO657" s="18"/>
      <c r="BP657" s="19"/>
      <c r="BQ657" s="19"/>
      <c r="BR657" s="19"/>
      <c r="BS657" s="19"/>
      <c r="BT657" s="18"/>
      <c r="BU657" s="19"/>
      <c r="BV657" s="19"/>
      <c r="BW657" s="19"/>
      <c r="BX657" s="19"/>
      <c r="BY657" s="18"/>
      <c r="BZ657" s="19"/>
      <c r="CA657" s="19"/>
      <c r="CB657" s="19"/>
      <c r="CC657" s="19"/>
      <c r="CD657" s="18"/>
      <c r="CE657" s="19"/>
      <c r="CF657" s="19"/>
      <c r="CG657" s="19"/>
      <c r="CH657" s="19"/>
      <c r="CI657" s="18"/>
      <c r="CJ657" s="19"/>
      <c r="CK657" s="19"/>
      <c r="CL657" s="19"/>
      <c r="CM657" s="19"/>
      <c r="CN657" s="427"/>
      <c r="CO657" s="427"/>
      <c r="CP657" s="427"/>
      <c r="CQ657" s="427"/>
      <c r="CR657" s="427"/>
      <c r="CS657" s="427"/>
      <c r="CT657" s="14"/>
    </row>
    <row r="658" spans="1:98" s="4" customFormat="1" x14ac:dyDescent="0.3">
      <c r="A658" s="14"/>
      <c r="B658" s="292"/>
      <c r="C658" s="292"/>
      <c r="D658" s="14"/>
      <c r="E658" s="14"/>
      <c r="F658" s="293"/>
      <c r="G658" s="14"/>
      <c r="H658" s="14"/>
      <c r="I658" s="14"/>
      <c r="J658" s="14"/>
      <c r="K658" s="14"/>
      <c r="L658" s="14"/>
      <c r="M658" s="641"/>
      <c r="N658" s="590"/>
      <c r="O658" s="623"/>
      <c r="P658" s="449"/>
      <c r="Q658" s="14"/>
      <c r="R658" s="14"/>
      <c r="S658" s="14"/>
      <c r="T658" s="14"/>
      <c r="U658" s="14"/>
      <c r="V658" s="14"/>
      <c r="W658" s="14"/>
      <c r="X658" s="14"/>
      <c r="Y658" s="14"/>
      <c r="Z658" s="14"/>
      <c r="AA658" s="18"/>
      <c r="AB658" s="19"/>
      <c r="AC658" s="19"/>
      <c r="AD658" s="19"/>
      <c r="AE658" s="19"/>
      <c r="AF658" s="18"/>
      <c r="AG658" s="19"/>
      <c r="AH658" s="19"/>
      <c r="AI658" s="19"/>
      <c r="AJ658" s="19"/>
      <c r="AK658" s="18"/>
      <c r="AL658" s="19"/>
      <c r="AM658" s="19"/>
      <c r="AN658" s="19"/>
      <c r="AO658" s="19"/>
      <c r="AP658" s="18"/>
      <c r="AQ658" s="19"/>
      <c r="AR658" s="19"/>
      <c r="AS658" s="19"/>
      <c r="AT658" s="19"/>
      <c r="AU658" s="18"/>
      <c r="AV658" s="19"/>
      <c r="AW658" s="19"/>
      <c r="AX658" s="19"/>
      <c r="AY658" s="19"/>
      <c r="AZ658" s="18"/>
      <c r="BA658" s="19"/>
      <c r="BB658" s="19"/>
      <c r="BC658" s="19"/>
      <c r="BD658" s="19"/>
      <c r="BE658" s="18"/>
      <c r="BF658" s="19"/>
      <c r="BG658" s="19"/>
      <c r="BH658" s="19"/>
      <c r="BI658" s="19"/>
      <c r="BJ658" s="18"/>
      <c r="BK658" s="19"/>
      <c r="BL658" s="19"/>
      <c r="BM658" s="19"/>
      <c r="BN658" s="19"/>
      <c r="BO658" s="18"/>
      <c r="BP658" s="19"/>
      <c r="BQ658" s="19"/>
      <c r="BR658" s="19"/>
      <c r="BS658" s="19"/>
      <c r="BT658" s="18"/>
      <c r="BU658" s="19"/>
      <c r="BV658" s="19"/>
      <c r="BW658" s="19"/>
      <c r="BX658" s="19"/>
      <c r="BY658" s="18"/>
      <c r="BZ658" s="19"/>
      <c r="CA658" s="19"/>
      <c r="CB658" s="19"/>
      <c r="CC658" s="19"/>
      <c r="CD658" s="18"/>
      <c r="CE658" s="19"/>
      <c r="CF658" s="19"/>
      <c r="CG658" s="19"/>
      <c r="CH658" s="19"/>
      <c r="CI658" s="18"/>
      <c r="CJ658" s="19"/>
      <c r="CK658" s="19"/>
      <c r="CL658" s="19"/>
      <c r="CM658" s="19"/>
      <c r="CN658" s="427"/>
      <c r="CO658" s="427"/>
      <c r="CP658" s="427"/>
      <c r="CQ658" s="427"/>
      <c r="CR658" s="427"/>
      <c r="CS658" s="427"/>
      <c r="CT658" s="14"/>
    </row>
    <row r="659" spans="1:98" s="4" customFormat="1" x14ac:dyDescent="0.3">
      <c r="A659" s="14"/>
      <c r="B659" s="292"/>
      <c r="C659" s="292"/>
      <c r="D659" s="14"/>
      <c r="E659" s="14"/>
      <c r="F659" s="293"/>
      <c r="G659" s="14"/>
      <c r="H659" s="14"/>
      <c r="I659" s="14"/>
      <c r="J659" s="14"/>
      <c r="K659" s="14"/>
      <c r="L659" s="14"/>
      <c r="M659" s="641"/>
      <c r="N659" s="590"/>
      <c r="O659" s="623"/>
      <c r="P659" s="449"/>
      <c r="Q659" s="14"/>
      <c r="R659" s="14"/>
      <c r="S659" s="14"/>
      <c r="T659" s="14"/>
      <c r="U659" s="14"/>
      <c r="V659" s="14"/>
      <c r="W659" s="14"/>
      <c r="X659" s="14"/>
      <c r="Y659" s="14"/>
      <c r="Z659" s="14"/>
      <c r="AA659" s="18"/>
      <c r="AB659" s="19"/>
      <c r="AC659" s="19"/>
      <c r="AD659" s="19"/>
      <c r="AE659" s="19"/>
      <c r="AF659" s="18"/>
      <c r="AG659" s="19"/>
      <c r="AH659" s="19"/>
      <c r="AI659" s="19"/>
      <c r="AJ659" s="19"/>
      <c r="AK659" s="18"/>
      <c r="AL659" s="19"/>
      <c r="AM659" s="19"/>
      <c r="AN659" s="19"/>
      <c r="AO659" s="19"/>
      <c r="AP659" s="18"/>
      <c r="AQ659" s="19"/>
      <c r="AR659" s="19"/>
      <c r="AS659" s="19"/>
      <c r="AT659" s="19"/>
      <c r="AU659" s="18"/>
      <c r="AV659" s="19"/>
      <c r="AW659" s="19"/>
      <c r="AX659" s="19"/>
      <c r="AY659" s="19"/>
      <c r="AZ659" s="18"/>
      <c r="BA659" s="19"/>
      <c r="BB659" s="19"/>
      <c r="BC659" s="19"/>
      <c r="BD659" s="19"/>
      <c r="BE659" s="18"/>
      <c r="BF659" s="19"/>
      <c r="BG659" s="19"/>
      <c r="BH659" s="19"/>
      <c r="BI659" s="19"/>
      <c r="BJ659" s="18"/>
      <c r="BK659" s="19"/>
      <c r="BL659" s="19"/>
      <c r="BM659" s="19"/>
      <c r="BN659" s="19"/>
      <c r="BO659" s="18"/>
      <c r="BP659" s="19"/>
      <c r="BQ659" s="19"/>
      <c r="BR659" s="19"/>
      <c r="BS659" s="19"/>
      <c r="BT659" s="18"/>
      <c r="BU659" s="19"/>
      <c r="BV659" s="19"/>
      <c r="BW659" s="19"/>
      <c r="BX659" s="19"/>
      <c r="BY659" s="18"/>
      <c r="BZ659" s="19"/>
      <c r="CA659" s="19"/>
      <c r="CB659" s="19"/>
      <c r="CC659" s="19"/>
      <c r="CD659" s="18"/>
      <c r="CE659" s="19"/>
      <c r="CF659" s="19"/>
      <c r="CG659" s="19"/>
      <c r="CH659" s="19"/>
      <c r="CI659" s="18"/>
      <c r="CJ659" s="19"/>
      <c r="CK659" s="19"/>
      <c r="CL659" s="19"/>
      <c r="CM659" s="19"/>
      <c r="CN659" s="427"/>
      <c r="CO659" s="427"/>
      <c r="CP659" s="427"/>
      <c r="CQ659" s="427"/>
      <c r="CR659" s="427"/>
      <c r="CS659" s="427"/>
      <c r="CT659" s="14"/>
    </row>
    <row r="660" spans="1:98" s="4" customFormat="1" x14ac:dyDescent="0.3">
      <c r="A660" s="14"/>
      <c r="B660" s="292"/>
      <c r="C660" s="292"/>
      <c r="D660" s="14"/>
      <c r="E660" s="14"/>
      <c r="F660" s="293"/>
      <c r="G660" s="14"/>
      <c r="H660" s="14"/>
      <c r="I660" s="14"/>
      <c r="J660" s="14"/>
      <c r="K660" s="14"/>
      <c r="L660" s="14"/>
      <c r="M660" s="641"/>
      <c r="N660" s="590"/>
      <c r="O660" s="623"/>
      <c r="P660" s="449"/>
      <c r="Q660" s="14"/>
      <c r="R660" s="14"/>
      <c r="S660" s="14"/>
      <c r="T660" s="14"/>
      <c r="U660" s="14"/>
      <c r="V660" s="14"/>
      <c r="W660" s="14"/>
      <c r="X660" s="14"/>
      <c r="Y660" s="14"/>
      <c r="Z660" s="14"/>
      <c r="AA660" s="18"/>
      <c r="AB660" s="19"/>
      <c r="AC660" s="19"/>
      <c r="AD660" s="19"/>
      <c r="AE660" s="19"/>
      <c r="AF660" s="18"/>
      <c r="AG660" s="19"/>
      <c r="AH660" s="19"/>
      <c r="AI660" s="19"/>
      <c r="AJ660" s="19"/>
      <c r="AK660" s="18"/>
      <c r="AL660" s="19"/>
      <c r="AM660" s="19"/>
      <c r="AN660" s="19"/>
      <c r="AO660" s="19"/>
      <c r="AP660" s="18"/>
      <c r="AQ660" s="19"/>
      <c r="AR660" s="19"/>
      <c r="AS660" s="19"/>
      <c r="AT660" s="19"/>
      <c r="AU660" s="18"/>
      <c r="AV660" s="19"/>
      <c r="AW660" s="19"/>
      <c r="AX660" s="19"/>
      <c r="AY660" s="19"/>
      <c r="AZ660" s="18"/>
      <c r="BA660" s="19"/>
      <c r="BB660" s="19"/>
      <c r="BC660" s="19"/>
      <c r="BD660" s="19"/>
      <c r="BE660" s="18"/>
      <c r="BF660" s="19"/>
      <c r="BG660" s="19"/>
      <c r="BH660" s="19"/>
      <c r="BI660" s="19"/>
      <c r="BJ660" s="18"/>
      <c r="BK660" s="19"/>
      <c r="BL660" s="19"/>
      <c r="BM660" s="19"/>
      <c r="BN660" s="19"/>
      <c r="BO660" s="18"/>
      <c r="BP660" s="19"/>
      <c r="BQ660" s="19"/>
      <c r="BR660" s="19"/>
      <c r="BS660" s="19"/>
      <c r="BT660" s="18"/>
      <c r="BU660" s="19"/>
      <c r="BV660" s="19"/>
      <c r="BW660" s="19"/>
      <c r="BX660" s="19"/>
      <c r="BY660" s="18"/>
      <c r="BZ660" s="19"/>
      <c r="CA660" s="19"/>
      <c r="CB660" s="19"/>
      <c r="CC660" s="19"/>
      <c r="CD660" s="18"/>
      <c r="CE660" s="19"/>
      <c r="CF660" s="19"/>
      <c r="CG660" s="19"/>
      <c r="CH660" s="19"/>
      <c r="CI660" s="18"/>
      <c r="CJ660" s="19"/>
      <c r="CK660" s="19"/>
      <c r="CL660" s="19"/>
      <c r="CM660" s="19"/>
      <c r="CN660" s="427"/>
      <c r="CO660" s="427"/>
      <c r="CP660" s="427"/>
      <c r="CQ660" s="427"/>
      <c r="CR660" s="427"/>
      <c r="CS660" s="427"/>
      <c r="CT660" s="14"/>
    </row>
    <row r="661" spans="1:98" s="4" customFormat="1" x14ac:dyDescent="0.3">
      <c r="A661" s="14"/>
      <c r="B661" s="292"/>
      <c r="C661" s="292"/>
      <c r="D661" s="14"/>
      <c r="E661" s="14"/>
      <c r="F661" s="293"/>
      <c r="G661" s="14"/>
      <c r="H661" s="14"/>
      <c r="I661" s="14"/>
      <c r="J661" s="14"/>
      <c r="K661" s="14"/>
      <c r="L661" s="14"/>
      <c r="M661" s="641"/>
      <c r="N661" s="590"/>
      <c r="O661" s="623"/>
      <c r="P661" s="449"/>
      <c r="Q661" s="14"/>
      <c r="R661" s="14"/>
      <c r="S661" s="14"/>
      <c r="T661" s="14"/>
      <c r="U661" s="14"/>
      <c r="V661" s="14"/>
      <c r="W661" s="14"/>
      <c r="X661" s="14"/>
      <c r="Y661" s="14"/>
      <c r="Z661" s="14"/>
      <c r="AA661" s="18"/>
      <c r="AB661" s="19"/>
      <c r="AC661" s="19"/>
      <c r="AD661" s="19"/>
      <c r="AE661" s="19"/>
      <c r="AF661" s="18"/>
      <c r="AG661" s="19"/>
      <c r="AH661" s="19"/>
      <c r="AI661" s="19"/>
      <c r="AJ661" s="19"/>
      <c r="AK661" s="18"/>
      <c r="AL661" s="19"/>
      <c r="AM661" s="19"/>
      <c r="AN661" s="19"/>
      <c r="AO661" s="19"/>
      <c r="AP661" s="18"/>
      <c r="AQ661" s="19"/>
      <c r="AR661" s="19"/>
      <c r="AS661" s="19"/>
      <c r="AT661" s="19"/>
      <c r="AU661" s="18"/>
      <c r="AV661" s="19"/>
      <c r="AW661" s="19"/>
      <c r="AX661" s="19"/>
      <c r="AY661" s="19"/>
      <c r="AZ661" s="18"/>
      <c r="BA661" s="19"/>
      <c r="BB661" s="19"/>
      <c r="BC661" s="19"/>
      <c r="BD661" s="19"/>
      <c r="BE661" s="18"/>
      <c r="BF661" s="19"/>
      <c r="BG661" s="19"/>
      <c r="BH661" s="19"/>
      <c r="BI661" s="19"/>
      <c r="BJ661" s="18"/>
      <c r="BK661" s="19"/>
      <c r="BL661" s="19"/>
      <c r="BM661" s="19"/>
      <c r="BN661" s="19"/>
      <c r="BO661" s="18"/>
      <c r="BP661" s="19"/>
      <c r="BQ661" s="19"/>
      <c r="BR661" s="19"/>
      <c r="BS661" s="19"/>
      <c r="BT661" s="18"/>
      <c r="BU661" s="19"/>
      <c r="BV661" s="19"/>
      <c r="BW661" s="19"/>
      <c r="BX661" s="19"/>
      <c r="BY661" s="18"/>
      <c r="BZ661" s="19"/>
      <c r="CA661" s="19"/>
      <c r="CB661" s="19"/>
      <c r="CC661" s="19"/>
      <c r="CD661" s="18"/>
      <c r="CE661" s="19"/>
      <c r="CF661" s="19"/>
      <c r="CG661" s="19"/>
      <c r="CH661" s="19"/>
      <c r="CI661" s="18"/>
      <c r="CJ661" s="19"/>
      <c r="CK661" s="19"/>
      <c r="CL661" s="19"/>
      <c r="CM661" s="19"/>
      <c r="CN661" s="427"/>
      <c r="CO661" s="427"/>
      <c r="CP661" s="427"/>
      <c r="CQ661" s="427"/>
      <c r="CR661" s="427"/>
      <c r="CS661" s="427"/>
      <c r="CT661" s="14"/>
    </row>
  </sheetData>
  <autoFilter ref="A11:CT404"/>
  <customSheetViews>
    <customSheetView guid="{7CB84A99-B60B-4692-871F-5B279F60114D}" scale="46" showPageBreaks="1" printArea="1" showAutoFilter="1" view="pageBreakPreview">
      <pane xSplit="5" ySplit="7" topLeftCell="CE278" activePane="bottomRight" state="frozen"/>
      <selection pane="bottomRight" activeCell="CM277" sqref="CM277:CM278"/>
      <rowBreaks count="11" manualBreakCount="11">
        <brk id="18" max="90" man="1"/>
        <brk id="93" max="90" man="1"/>
        <brk id="181" max="90" man="1"/>
        <brk id="285" max="90" man="1"/>
        <brk id="290" max="90" man="1"/>
        <brk id="305" max="90" man="1"/>
        <brk id="313" max="90" man="1"/>
        <brk id="325" max="90" man="1"/>
        <brk id="332" max="90" man="1"/>
        <brk id="350" max="90" man="1"/>
        <brk id="359" max="90" man="1"/>
      </rowBreaks>
      <colBreaks count="2" manualBreakCount="2">
        <brk id="20" max="450" man="1"/>
        <brk id="43" max="450" man="1"/>
      </colBreaks>
      <pageMargins left="0.15748031496062992" right="0.15748031496062992" top="0.15748031496062992" bottom="0.15748031496062992" header="0.11811023622047245" footer="0.11811023622047245"/>
      <pageSetup paperSize="9" scale="27" fitToHeight="0" orientation="landscape" r:id="rId1"/>
      <autoFilter ref="D1:D470"/>
    </customSheetView>
    <customSheetView guid="{DEE4FACC-36AB-4963-B770-3096E3B292B9}" scale="50" showPageBreaks="1" printArea="1" showAutoFilter="1" view="pageBreakPreview">
      <pane xSplit="5" ySplit="7" topLeftCell="CD202" activePane="bottomRight" state="frozen"/>
      <selection pane="bottomRight" activeCell="CN205" sqref="CN205"/>
      <rowBreaks count="10" manualBreakCount="10">
        <brk id="89" max="92" man="1"/>
        <brk id="183" max="92" man="1"/>
        <brk id="286" max="92" man="1"/>
        <brk id="291" max="92" man="1"/>
        <brk id="308" max="92" man="1"/>
        <brk id="315" max="92" man="1"/>
        <brk id="336" max="92" man="1"/>
        <brk id="345" max="92" man="1"/>
        <brk id="359" max="92" man="1"/>
        <brk id="368" max="92" man="1"/>
      </rowBreaks>
      <colBreaks count="3" manualBreakCount="3">
        <brk id="20" max="453" man="1"/>
        <brk id="43" max="453" man="1"/>
        <brk id="105" max="1048575" man="1"/>
      </colBreaks>
      <pageMargins left="0.15748031496062992" right="0.15748031496062992" top="0.15748031496062992" bottom="0.15748031496062992" header="0.11811023622047245" footer="0.11811023622047245"/>
      <pageSetup paperSize="9" scale="33" fitToHeight="0" orientation="landscape" r:id="rId2"/>
      <autoFilter ref="D1:D487"/>
    </customSheetView>
    <customSheetView guid="{54174458-CE6F-46B3-81FF-85C43D9CF583}" scale="39" showPageBreaks="1" printArea="1" showAutoFilter="1" view="pageBreakPreview">
      <pane xSplit="5" ySplit="7" topLeftCell="AI10" activePane="bottomRight" state="frozen"/>
      <selection pane="bottomRight" activeCell="B19" sqref="B19:B22"/>
      <rowBreaks count="14" manualBreakCount="14">
        <brk id="20" max="90" man="1"/>
        <brk id="97" max="90" man="1"/>
        <brk id="190" max="90" man="1"/>
        <brk id="214" max="90" man="1"/>
        <brk id="224" max="90" man="1"/>
        <brk id="293" max="90" man="1"/>
        <brk id="298" max="90" man="1"/>
        <brk id="315" max="90" man="1"/>
        <brk id="322" max="90" man="1"/>
        <brk id="334" max="90" man="1"/>
        <brk id="344" max="90" man="1"/>
        <brk id="352" max="90" man="1"/>
        <brk id="366" max="90" man="1"/>
        <brk id="375" max="90" man="1"/>
      </rowBreaks>
      <colBreaks count="2" manualBreakCount="2">
        <brk id="20" max="450" man="1"/>
        <brk id="43" max="450" man="1"/>
      </colBreaks>
      <pageMargins left="0.15748031496062992" right="0.15748031496062992" top="0.15748031496062992" bottom="0.15748031496062992" header="0.11811023622047245" footer="0.11811023622047245"/>
      <pageSetup paperSize="9" scale="28" fitToHeight="0" orientation="landscape" r:id="rId3"/>
      <autoFilter ref="D1:D484"/>
    </customSheetView>
  </customSheetViews>
  <mergeCells count="2487">
    <mergeCell ref="O376:O377"/>
    <mergeCell ref="O385:O386"/>
    <mergeCell ref="O387:O388"/>
    <mergeCell ref="I385:I386"/>
    <mergeCell ref="I387:I388"/>
    <mergeCell ref="BU372:BU373"/>
    <mergeCell ref="BT372:BT373"/>
    <mergeCell ref="BS372:BS373"/>
    <mergeCell ref="AK372:AK373"/>
    <mergeCell ref="BB372:BB373"/>
    <mergeCell ref="BA372:BA373"/>
    <mergeCell ref="AZ372:AZ373"/>
    <mergeCell ref="AP372:AP373"/>
    <mergeCell ref="AI372:AI373"/>
    <mergeCell ref="AE372:AE373"/>
    <mergeCell ref="AD372:AD373"/>
    <mergeCell ref="AS331:AS332"/>
    <mergeCell ref="AB372:AB373"/>
    <mergeCell ref="AA372:AA373"/>
    <mergeCell ref="AB336:AB339"/>
    <mergeCell ref="AN336:AN339"/>
    <mergeCell ref="AT336:AT339"/>
    <mergeCell ref="AD342:AD343"/>
    <mergeCell ref="AE342:AE343"/>
    <mergeCell ref="AE331:AE332"/>
    <mergeCell ref="AG331:AG332"/>
    <mergeCell ref="N333:N334"/>
    <mergeCell ref="L333:L334"/>
    <mergeCell ref="M333:M334"/>
    <mergeCell ref="AB331:AB332"/>
    <mergeCell ref="AC331:AC332"/>
    <mergeCell ref="AH331:AH332"/>
    <mergeCell ref="A277:A278"/>
    <mergeCell ref="K259:K262"/>
    <mergeCell ref="A398:A399"/>
    <mergeCell ref="B398:B399"/>
    <mergeCell ref="O396:O400"/>
    <mergeCell ref="O34:O35"/>
    <mergeCell ref="O38:O39"/>
    <mergeCell ref="O71:O72"/>
    <mergeCell ref="O77:O79"/>
    <mergeCell ref="O97:O98"/>
    <mergeCell ref="O105:O108"/>
    <mergeCell ref="O277:O278"/>
    <mergeCell ref="O280:O281"/>
    <mergeCell ref="O284:O286"/>
    <mergeCell ref="O297:O298"/>
    <mergeCell ref="B126:CM126"/>
    <mergeCell ref="B127:CM127"/>
    <mergeCell ref="AC121:AC122"/>
    <mergeCell ref="AB121:AB122"/>
    <mergeCell ref="AA121:AA122"/>
    <mergeCell ref="BG131:BG132"/>
    <mergeCell ref="D71:D72"/>
    <mergeCell ref="AN101:AN102"/>
    <mergeCell ref="N77:N79"/>
    <mergeCell ref="S97:S98"/>
    <mergeCell ref="T97:T98"/>
    <mergeCell ref="U97:U98"/>
    <mergeCell ref="V97:V98"/>
    <mergeCell ref="W97:W98"/>
    <mergeCell ref="X97:X98"/>
    <mergeCell ref="AE101:AE102"/>
    <mergeCell ref="P391:P392"/>
    <mergeCell ref="K394:K395"/>
    <mergeCell ref="N394:N395"/>
    <mergeCell ref="N396:N400"/>
    <mergeCell ref="N385:N386"/>
    <mergeCell ref="A385:A386"/>
    <mergeCell ref="B385:B386"/>
    <mergeCell ref="C385:C386"/>
    <mergeCell ref="D385:D386"/>
    <mergeCell ref="E385:E386"/>
    <mergeCell ref="F385:F386"/>
    <mergeCell ref="G385:G386"/>
    <mergeCell ref="H385:H386"/>
    <mergeCell ref="J385:J386"/>
    <mergeCell ref="K385:K386"/>
    <mergeCell ref="N297:N298"/>
    <mergeCell ref="K297:K298"/>
    <mergeCell ref="N307:N310"/>
    <mergeCell ref="E376:E377"/>
    <mergeCell ref="D376:D377"/>
    <mergeCell ref="A364:A365"/>
    <mergeCell ref="B326:B330"/>
    <mergeCell ref="C326:C330"/>
    <mergeCell ref="A372:A373"/>
    <mergeCell ref="B372:B373"/>
    <mergeCell ref="C364:C365"/>
    <mergeCell ref="B364:B365"/>
    <mergeCell ref="A333:A334"/>
    <mergeCell ref="B333:B334"/>
    <mergeCell ref="C333:C334"/>
    <mergeCell ref="D333:D334"/>
    <mergeCell ref="I333:I334"/>
    <mergeCell ref="B301:CM301"/>
    <mergeCell ref="B401:C401"/>
    <mergeCell ref="D135:D136"/>
    <mergeCell ref="E135:E136"/>
    <mergeCell ref="C372:C373"/>
    <mergeCell ref="D372:D373"/>
    <mergeCell ref="E372:E373"/>
    <mergeCell ref="B356:CM356"/>
    <mergeCell ref="A359:A360"/>
    <mergeCell ref="B359:B360"/>
    <mergeCell ref="E359:E360"/>
    <mergeCell ref="B361:CM361"/>
    <mergeCell ref="A396:A397"/>
    <mergeCell ref="B396:B397"/>
    <mergeCell ref="A376:A377"/>
    <mergeCell ref="C376:C377"/>
    <mergeCell ref="B376:B377"/>
    <mergeCell ref="N376:N377"/>
    <mergeCell ref="A331:A332"/>
    <mergeCell ref="F331:F332"/>
    <mergeCell ref="B231:B232"/>
    <mergeCell ref="D235:D236"/>
    <mergeCell ref="F208:F221"/>
    <mergeCell ref="O326:O327"/>
    <mergeCell ref="O331:O332"/>
    <mergeCell ref="O333:O334"/>
    <mergeCell ref="O363:O364"/>
    <mergeCell ref="BG342:BG343"/>
    <mergeCell ref="A231:A232"/>
    <mergeCell ref="D203:D204"/>
    <mergeCell ref="E203:E204"/>
    <mergeCell ref="AY336:AY339"/>
    <mergeCell ref="A191:A192"/>
    <mergeCell ref="CN13:CN14"/>
    <mergeCell ref="CO13:CO14"/>
    <mergeCell ref="CP13:CP14"/>
    <mergeCell ref="CQ13:CQ14"/>
    <mergeCell ref="CR13:CR14"/>
    <mergeCell ref="CS13:CS14"/>
    <mergeCell ref="B90:Z90"/>
    <mergeCell ref="CN89:CN94"/>
    <mergeCell ref="CO89:CO94"/>
    <mergeCell ref="CP89:CP94"/>
    <mergeCell ref="CQ89:CQ94"/>
    <mergeCell ref="CR89:CR94"/>
    <mergeCell ref="CS89:CS94"/>
    <mergeCell ref="E284:E286"/>
    <mergeCell ref="F297:F298"/>
    <mergeCell ref="AA199:AA202"/>
    <mergeCell ref="AB199:AB202"/>
    <mergeCell ref="AR95:AR97"/>
    <mergeCell ref="BD145:BD146"/>
    <mergeCell ref="BE145:BE146"/>
    <mergeCell ref="BF145:BF146"/>
    <mergeCell ref="AQ145:AQ146"/>
    <mergeCell ref="AR145:AR146"/>
    <mergeCell ref="AS145:AS146"/>
    <mergeCell ref="AT145:AT146"/>
    <mergeCell ref="BH145:BH146"/>
    <mergeCell ref="AU135:AU136"/>
    <mergeCell ref="AT135:AT136"/>
    <mergeCell ref="BK95:BK97"/>
    <mergeCell ref="BF131:BF132"/>
    <mergeCell ref="AU121:AU122"/>
    <mergeCell ref="AM101:AM102"/>
    <mergeCell ref="A4:CS4"/>
    <mergeCell ref="CQ2:CS2"/>
    <mergeCell ref="CQ1:CS1"/>
    <mergeCell ref="CQ3:CS3"/>
    <mergeCell ref="CN364:CN365"/>
    <mergeCell ref="CO364:CO365"/>
    <mergeCell ref="CP364:CP365"/>
    <mergeCell ref="CQ364:CQ365"/>
    <mergeCell ref="CR364:CR365"/>
    <mergeCell ref="CS364:CS365"/>
    <mergeCell ref="AJ135:AJ136"/>
    <mergeCell ref="A66:A67"/>
    <mergeCell ref="B66:B67"/>
    <mergeCell ref="C66:C67"/>
    <mergeCell ref="D66:D67"/>
    <mergeCell ref="E66:E67"/>
    <mergeCell ref="B65:CM65"/>
    <mergeCell ref="BR71:BR72"/>
    <mergeCell ref="CK71:CK72"/>
    <mergeCell ref="AG71:AG72"/>
    <mergeCell ref="AH71:AH72"/>
    <mergeCell ref="E205:E206"/>
    <mergeCell ref="A5:C5"/>
    <mergeCell ref="T297:T298"/>
    <mergeCell ref="S297:S298"/>
    <mergeCell ref="Q297:Q298"/>
    <mergeCell ref="B295:N295"/>
    <mergeCell ref="D95:D98"/>
    <mergeCell ref="N97:N98"/>
    <mergeCell ref="AV101:AV102"/>
    <mergeCell ref="AU101:AU102"/>
    <mergeCell ref="AF101:AF102"/>
    <mergeCell ref="A84:A85"/>
    <mergeCell ref="B84:B85"/>
    <mergeCell ref="AA84:AA85"/>
    <mergeCell ref="AB84:AB85"/>
    <mergeCell ref="AC84:AC85"/>
    <mergeCell ref="AB95:AB97"/>
    <mergeCell ref="B75:E75"/>
    <mergeCell ref="AD101:AD102"/>
    <mergeCell ref="AC101:AC102"/>
    <mergeCell ref="N84:N86"/>
    <mergeCell ref="A71:A72"/>
    <mergeCell ref="AD84:AD85"/>
    <mergeCell ref="AA71:AA72"/>
    <mergeCell ref="A100:A103"/>
    <mergeCell ref="B100:B103"/>
    <mergeCell ref="D100:D103"/>
    <mergeCell ref="A86:A87"/>
    <mergeCell ref="B86:B87"/>
    <mergeCell ref="A95:A98"/>
    <mergeCell ref="D128:D129"/>
    <mergeCell ref="D131:D132"/>
    <mergeCell ref="D145:D146"/>
    <mergeCell ref="BH131:BH132"/>
    <mergeCell ref="AK101:AK102"/>
    <mergeCell ref="K97:K98"/>
    <mergeCell ref="B94:CM94"/>
    <mergeCell ref="G97:G98"/>
    <mergeCell ref="BO84:BO85"/>
    <mergeCell ref="BP84:BP85"/>
    <mergeCell ref="BQ84:BQ85"/>
    <mergeCell ref="BR84:BR85"/>
    <mergeCell ref="BS84:BS85"/>
    <mergeCell ref="J333:J334"/>
    <mergeCell ref="K333:K334"/>
    <mergeCell ref="AA131:AA132"/>
    <mergeCell ref="AP131:AP132"/>
    <mergeCell ref="O259:O262"/>
    <mergeCell ref="AI131:AI132"/>
    <mergeCell ref="BU131:BU132"/>
    <mergeCell ref="O121:O122"/>
    <mergeCell ref="O137:O138"/>
    <mergeCell ref="AL95:AL97"/>
    <mergeCell ref="AT101:AT102"/>
    <mergeCell ref="CM101:CM102"/>
    <mergeCell ref="BC101:BC102"/>
    <mergeCell ref="B95:B98"/>
    <mergeCell ref="Z97:Z98"/>
    <mergeCell ref="AA95:AA97"/>
    <mergeCell ref="AI95:AI97"/>
    <mergeCell ref="R97:R98"/>
    <mergeCell ref="AI101:AI102"/>
    <mergeCell ref="BL336:BL339"/>
    <mergeCell ref="CK331:CK332"/>
    <mergeCell ref="O269:O270"/>
    <mergeCell ref="O264:O266"/>
    <mergeCell ref="H333:H334"/>
    <mergeCell ref="CR372:CR373"/>
    <mergeCell ref="CQ372:CQ373"/>
    <mergeCell ref="CP372:CP373"/>
    <mergeCell ref="CO372:CO373"/>
    <mergeCell ref="C101:C102"/>
    <mergeCell ref="E100:E103"/>
    <mergeCell ref="CH372:CH373"/>
    <mergeCell ref="CG372:CG373"/>
    <mergeCell ref="CF372:CF373"/>
    <mergeCell ref="CE372:CE373"/>
    <mergeCell ref="CD372:CD373"/>
    <mergeCell ref="CC372:CC373"/>
    <mergeCell ref="CB372:CB373"/>
    <mergeCell ref="CA372:CA373"/>
    <mergeCell ref="BZ372:BZ373"/>
    <mergeCell ref="BY372:BY373"/>
    <mergeCell ref="BX372:BX373"/>
    <mergeCell ref="BW372:BW373"/>
    <mergeCell ref="AM372:AM373"/>
    <mergeCell ref="BD372:BD373"/>
    <mergeCell ref="AH372:AH373"/>
    <mergeCell ref="AG372:AG373"/>
    <mergeCell ref="CN372:CN373"/>
    <mergeCell ref="AP336:AP339"/>
    <mergeCell ref="AH131:AH132"/>
    <mergeCell ref="AJ131:AJ132"/>
    <mergeCell ref="AL121:AL122"/>
    <mergeCell ref="CM372:CM373"/>
    <mergeCell ref="CL372:CL373"/>
    <mergeCell ref="M363:M364"/>
    <mergeCell ref="CJ372:CJ373"/>
    <mergeCell ref="BQ372:BQ373"/>
    <mergeCell ref="BP372:BP373"/>
    <mergeCell ref="BO372:BO373"/>
    <mergeCell ref="BN372:BN373"/>
    <mergeCell ref="BM372:BM373"/>
    <mergeCell ref="BL372:BL373"/>
    <mergeCell ref="BK372:BK373"/>
    <mergeCell ref="BJ372:BJ373"/>
    <mergeCell ref="BI372:BI373"/>
    <mergeCell ref="BH372:BH373"/>
    <mergeCell ref="B353:CM353"/>
    <mergeCell ref="B345:CM345"/>
    <mergeCell ref="BF235:BF236"/>
    <mergeCell ref="BD235:BD236"/>
    <mergeCell ref="AZ235:AZ236"/>
    <mergeCell ref="AY235:AY236"/>
    <mergeCell ref="BH235:BH236"/>
    <mergeCell ref="BM235:BM236"/>
    <mergeCell ref="BL235:BL236"/>
    <mergeCell ref="BK235:BK236"/>
    <mergeCell ref="BR324:BR325"/>
    <mergeCell ref="BS324:BS325"/>
    <mergeCell ref="BV324:BV325"/>
    <mergeCell ref="AV324:AV325"/>
    <mergeCell ref="AW324:AW325"/>
    <mergeCell ref="AX324:AX325"/>
    <mergeCell ref="BY336:BY339"/>
    <mergeCell ref="BP336:BP339"/>
    <mergeCell ref="C342:C343"/>
    <mergeCell ref="AA342:AA343"/>
    <mergeCell ref="AB342:AB343"/>
    <mergeCell ref="AC342:AC343"/>
    <mergeCell ref="BP342:BP343"/>
    <mergeCell ref="CK372:CK373"/>
    <mergeCell ref="BF372:BF373"/>
    <mergeCell ref="BE372:BE373"/>
    <mergeCell ref="AF372:AF373"/>
    <mergeCell ref="O372:O373"/>
    <mergeCell ref="BZ331:BZ332"/>
    <mergeCell ref="AV326:AV330"/>
    <mergeCell ref="AU326:AU330"/>
    <mergeCell ref="BR326:BR330"/>
    <mergeCell ref="BQ326:BQ330"/>
    <mergeCell ref="BP326:BP330"/>
    <mergeCell ref="BO326:BO330"/>
    <mergeCell ref="AC326:AC330"/>
    <mergeCell ref="AB326:AB330"/>
    <mergeCell ref="AS326:AS330"/>
    <mergeCell ref="AR326:AR330"/>
    <mergeCell ref="AJ372:AJ373"/>
    <mergeCell ref="AC372:AC373"/>
    <mergeCell ref="AT372:AT373"/>
    <mergeCell ref="BG372:BG373"/>
    <mergeCell ref="AL372:AL373"/>
    <mergeCell ref="BX336:BX339"/>
    <mergeCell ref="BW336:BW339"/>
    <mergeCell ref="BV336:BV339"/>
    <mergeCell ref="BU336:BU339"/>
    <mergeCell ref="BT336:BT339"/>
    <mergeCell ref="CB336:CB339"/>
    <mergeCell ref="AR235:AR236"/>
    <mergeCell ref="CE235:CE236"/>
    <mergeCell ref="CB331:CB332"/>
    <mergeCell ref="AP235:AP236"/>
    <mergeCell ref="BU326:BU330"/>
    <mergeCell ref="BN235:BN236"/>
    <mergeCell ref="BJ235:BJ236"/>
    <mergeCell ref="BI176:BI177"/>
    <mergeCell ref="BZ203:BZ204"/>
    <mergeCell ref="BY235:BY236"/>
    <mergeCell ref="BX235:BX236"/>
    <mergeCell ref="BO235:BO236"/>
    <mergeCell ref="B226:CM226"/>
    <mergeCell ref="T208:T221"/>
    <mergeCell ref="U208:U221"/>
    <mergeCell ref="V208:V221"/>
    <mergeCell ref="W208:W221"/>
    <mergeCell ref="BV326:BV330"/>
    <mergeCell ref="BC203:BC204"/>
    <mergeCell ref="CL331:CL332"/>
    <mergeCell ref="AZ324:AZ325"/>
    <mergeCell ref="CF235:CF236"/>
    <mergeCell ref="BB324:BB325"/>
    <mergeCell ref="BC324:BC325"/>
    <mergeCell ref="CE326:CE330"/>
    <mergeCell ref="CD326:CD330"/>
    <mergeCell ref="BH326:BH330"/>
    <mergeCell ref="BC235:BC236"/>
    <mergeCell ref="BJ318:BJ323"/>
    <mergeCell ref="BI324:BI325"/>
    <mergeCell ref="BP324:BP325"/>
    <mergeCell ref="BO244:BO245"/>
    <mergeCell ref="CR231:CR232"/>
    <mergeCell ref="CQ231:CQ232"/>
    <mergeCell ref="CP231:CP232"/>
    <mergeCell ref="CO231:CO232"/>
    <mergeCell ref="CN231:CN232"/>
    <mergeCell ref="CM231:CM232"/>
    <mergeCell ref="CL231:CL232"/>
    <mergeCell ref="CK231:CK232"/>
    <mergeCell ref="CJ231:CJ232"/>
    <mergeCell ref="CI231:CI232"/>
    <mergeCell ref="CH231:CH232"/>
    <mergeCell ref="AY231:AY232"/>
    <mergeCell ref="BG231:BG232"/>
    <mergeCell ref="BF231:BF232"/>
    <mergeCell ref="CA231:CA232"/>
    <mergeCell ref="BZ231:BZ232"/>
    <mergeCell ref="BY231:BY232"/>
    <mergeCell ref="BX231:BX232"/>
    <mergeCell ref="BA231:BA232"/>
    <mergeCell ref="AZ231:AZ232"/>
    <mergeCell ref="BW231:BW232"/>
    <mergeCell ref="BV231:BV232"/>
    <mergeCell ref="BU231:BU232"/>
    <mergeCell ref="B331:B332"/>
    <mergeCell ref="C331:C332"/>
    <mergeCell ref="D331:D332"/>
    <mergeCell ref="E331:E332"/>
    <mergeCell ref="CI277:CI278"/>
    <mergeCell ref="BI291:BI292"/>
    <mergeCell ref="BH291:BH292"/>
    <mergeCell ref="BG291:BG292"/>
    <mergeCell ref="BA324:BA325"/>
    <mergeCell ref="BF331:BF332"/>
    <mergeCell ref="BG331:BG332"/>
    <mergeCell ref="BH331:BH332"/>
    <mergeCell ref="BL324:BL325"/>
    <mergeCell ref="BM324:BM325"/>
    <mergeCell ref="AZ318:AZ323"/>
    <mergeCell ref="BA318:BA323"/>
    <mergeCell ref="CC331:CC332"/>
    <mergeCell ref="AT331:AT332"/>
    <mergeCell ref="AA326:AA330"/>
    <mergeCell ref="BV318:BV323"/>
    <mergeCell ref="AO324:AO325"/>
    <mergeCell ref="BK324:BK325"/>
    <mergeCell ref="AB324:AB325"/>
    <mergeCell ref="AC324:AC325"/>
    <mergeCell ref="AB318:AB323"/>
    <mergeCell ref="BZ324:BZ325"/>
    <mergeCell ref="CA324:CA325"/>
    <mergeCell ref="CB324:CB325"/>
    <mergeCell ref="CC324:CC325"/>
    <mergeCell ref="CD324:CD325"/>
    <mergeCell ref="BW318:BW323"/>
    <mergeCell ref="CF280:CF281"/>
    <mergeCell ref="CR235:CR236"/>
    <mergeCell ref="CQ235:CQ236"/>
    <mergeCell ref="CP235:CP236"/>
    <mergeCell ref="CO235:CO236"/>
    <mergeCell ref="CN235:CN236"/>
    <mergeCell ref="CM235:CM236"/>
    <mergeCell ref="CL235:CL236"/>
    <mergeCell ref="CK235:CK236"/>
    <mergeCell ref="CJ235:CJ236"/>
    <mergeCell ref="CR336:CR339"/>
    <mergeCell ref="CO244:CO245"/>
    <mergeCell ref="CN244:CN245"/>
    <mergeCell ref="CM280:CM281"/>
    <mergeCell ref="CL280:CL281"/>
    <mergeCell ref="CK280:CK281"/>
    <mergeCell ref="CJ280:CJ281"/>
    <mergeCell ref="CM277:CM278"/>
    <mergeCell ref="CR291:CR292"/>
    <mergeCell ref="CN331:CN332"/>
    <mergeCell ref="CK336:CK339"/>
    <mergeCell ref="CR326:CR330"/>
    <mergeCell ref="CQ326:CQ330"/>
    <mergeCell ref="CP326:CP330"/>
    <mergeCell ref="CM336:CM339"/>
    <mergeCell ref="CL336:CL339"/>
    <mergeCell ref="CO326:CO330"/>
    <mergeCell ref="CQ291:CQ292"/>
    <mergeCell ref="CN326:CN330"/>
    <mergeCell ref="CM331:CM332"/>
    <mergeCell ref="CR324:CR325"/>
    <mergeCell ref="CQ324:CQ325"/>
    <mergeCell ref="CP324:CP325"/>
    <mergeCell ref="CG331:CG332"/>
    <mergeCell ref="CH331:CH332"/>
    <mergeCell ref="CI331:CI332"/>
    <mergeCell ref="CH326:CH330"/>
    <mergeCell ref="CG326:CG330"/>
    <mergeCell ref="CM326:CM330"/>
    <mergeCell ref="CL326:CL330"/>
    <mergeCell ref="CK326:CK330"/>
    <mergeCell ref="CJ326:CJ330"/>
    <mergeCell ref="CO331:CO332"/>
    <mergeCell ref="CE331:CE332"/>
    <mergeCell ref="BS336:BS339"/>
    <mergeCell ref="BR336:BR339"/>
    <mergeCell ref="BI336:BI339"/>
    <mergeCell ref="BH336:BH339"/>
    <mergeCell ref="CJ331:CJ332"/>
    <mergeCell ref="CA336:CA339"/>
    <mergeCell ref="BZ336:BZ339"/>
    <mergeCell ref="CC336:CC339"/>
    <mergeCell ref="CI336:CI339"/>
    <mergeCell ref="BQ336:BQ339"/>
    <mergeCell ref="BO336:BO339"/>
    <mergeCell ref="CF331:CF332"/>
    <mergeCell ref="CD331:CD332"/>
    <mergeCell ref="CO336:CO339"/>
    <mergeCell ref="CN336:CN339"/>
    <mergeCell ref="CH336:CH339"/>
    <mergeCell ref="CG336:CG339"/>
    <mergeCell ref="BK336:BK339"/>
    <mergeCell ref="BO331:BO332"/>
    <mergeCell ref="CB326:CB330"/>
    <mergeCell ref="BV331:BV332"/>
    <mergeCell ref="CR342:CR343"/>
    <mergeCell ref="CL342:CL343"/>
    <mergeCell ref="CM342:CM343"/>
    <mergeCell ref="BJ336:BJ339"/>
    <mergeCell ref="BN336:BN339"/>
    <mergeCell ref="BM336:BM339"/>
    <mergeCell ref="CD336:CD339"/>
    <mergeCell ref="BM342:BM343"/>
    <mergeCell ref="AX336:AX339"/>
    <mergeCell ref="AW336:AW339"/>
    <mergeCell ref="AV336:AV339"/>
    <mergeCell ref="AU336:AU339"/>
    <mergeCell ref="BL342:BL343"/>
    <mergeCell ref="BK342:BK343"/>
    <mergeCell ref="CF336:CF339"/>
    <mergeCell ref="CE336:CE339"/>
    <mergeCell ref="BY331:BY332"/>
    <mergeCell ref="BG336:BG339"/>
    <mergeCell ref="BF336:BF339"/>
    <mergeCell ref="CR331:CR332"/>
    <mergeCell ref="CQ331:CQ332"/>
    <mergeCell ref="CP331:CP332"/>
    <mergeCell ref="CQ336:CQ339"/>
    <mergeCell ref="CP336:CP339"/>
    <mergeCell ref="BP331:BP332"/>
    <mergeCell ref="CQ342:CQ343"/>
    <mergeCell ref="CJ336:CJ339"/>
    <mergeCell ref="CP342:CP343"/>
    <mergeCell ref="CO342:CO343"/>
    <mergeCell ref="CN342:CN343"/>
    <mergeCell ref="CJ342:CJ343"/>
    <mergeCell ref="AZ342:AZ343"/>
    <mergeCell ref="R208:R221"/>
    <mergeCell ref="Y208:Y221"/>
    <mergeCell ref="BI231:BI232"/>
    <mergeCell ref="Z208:Z221"/>
    <mergeCell ref="S227:S230"/>
    <mergeCell ref="R227:R230"/>
    <mergeCell ref="Z227:Z230"/>
    <mergeCell ref="J229:J230"/>
    <mergeCell ref="AQ235:AQ236"/>
    <mergeCell ref="BG235:BG236"/>
    <mergeCell ref="BI235:BI236"/>
    <mergeCell ref="AX235:AX236"/>
    <mergeCell ref="BB235:BB236"/>
    <mergeCell ref="BB231:BB232"/>
    <mergeCell ref="BG326:BG330"/>
    <mergeCell ref="BF326:BF330"/>
    <mergeCell ref="BS235:BS236"/>
    <mergeCell ref="AR324:AR325"/>
    <mergeCell ref="AS324:AS325"/>
    <mergeCell ref="AF235:AF236"/>
    <mergeCell ref="BS318:BS323"/>
    <mergeCell ref="AE244:AE245"/>
    <mergeCell ref="BI244:BI245"/>
    <mergeCell ref="B276:CM276"/>
    <mergeCell ref="Z257:Z258"/>
    <mergeCell ref="BR244:BR245"/>
    <mergeCell ref="B264:B267"/>
    <mergeCell ref="CD235:CD236"/>
    <mergeCell ref="BR235:BR236"/>
    <mergeCell ref="BQ235:BQ236"/>
    <mergeCell ref="BP235:BP236"/>
    <mergeCell ref="AC244:AC245"/>
    <mergeCell ref="AQ331:AQ332"/>
    <mergeCell ref="AN318:AN323"/>
    <mergeCell ref="AG324:AG325"/>
    <mergeCell ref="BS326:BS330"/>
    <mergeCell ref="AM326:AM330"/>
    <mergeCell ref="AX326:AX330"/>
    <mergeCell ref="BC326:BC330"/>
    <mergeCell ref="BB326:BB330"/>
    <mergeCell ref="BA326:BA330"/>
    <mergeCell ref="AZ326:AZ330"/>
    <mergeCell ref="AY326:AY330"/>
    <mergeCell ref="AT326:AT330"/>
    <mergeCell ref="BQ324:BQ325"/>
    <mergeCell ref="BN326:BN330"/>
    <mergeCell ref="AR331:AR332"/>
    <mergeCell ref="AU331:AU332"/>
    <mergeCell ref="AH318:AH323"/>
    <mergeCell ref="AQ324:AQ325"/>
    <mergeCell ref="AI331:AI332"/>
    <mergeCell ref="AJ331:AJ332"/>
    <mergeCell ref="AK331:AK332"/>
    <mergeCell ref="AL331:AL332"/>
    <mergeCell ref="BN331:BN332"/>
    <mergeCell ref="AQ326:AQ330"/>
    <mergeCell ref="BK326:BK330"/>
    <mergeCell ref="C205:C206"/>
    <mergeCell ref="Y227:Y230"/>
    <mergeCell ref="G229:G230"/>
    <mergeCell ref="H229:H230"/>
    <mergeCell ref="Q208:Q221"/>
    <mergeCell ref="AC176:AC177"/>
    <mergeCell ref="AS231:AS232"/>
    <mergeCell ref="AR231:AR232"/>
    <mergeCell ref="AQ231:AQ232"/>
    <mergeCell ref="X208:X221"/>
    <mergeCell ref="BH231:BH232"/>
    <mergeCell ref="BJ231:BJ232"/>
    <mergeCell ref="B225:CM225"/>
    <mergeCell ref="E231:E232"/>
    <mergeCell ref="D231:D232"/>
    <mergeCell ref="BS231:BS232"/>
    <mergeCell ref="BR231:BR232"/>
    <mergeCell ref="BQ231:BQ232"/>
    <mergeCell ref="D205:D206"/>
    <mergeCell ref="BC176:BC177"/>
    <mergeCell ref="B193:CM193"/>
    <mergeCell ref="B194:CM194"/>
    <mergeCell ref="Q227:Q230"/>
    <mergeCell ref="BX199:BX202"/>
    <mergeCell ref="BW199:BW202"/>
    <mergeCell ref="AB231:AB232"/>
    <mergeCell ref="AA231:AA232"/>
    <mergeCell ref="B188:B190"/>
    <mergeCell ref="B191:B192"/>
    <mergeCell ref="AK231:AK232"/>
    <mergeCell ref="AW176:AW177"/>
    <mergeCell ref="AV176:AV177"/>
    <mergeCell ref="CR176:CR177"/>
    <mergeCell ref="CQ176:CQ177"/>
    <mergeCell ref="CP176:CP177"/>
    <mergeCell ref="CO176:CO177"/>
    <mergeCell ref="CN176:CN177"/>
    <mergeCell ref="CM176:CM177"/>
    <mergeCell ref="BO176:BO177"/>
    <mergeCell ref="CL176:CL177"/>
    <mergeCell ref="CK176:CK177"/>
    <mergeCell ref="CJ176:CJ177"/>
    <mergeCell ref="CI176:CI177"/>
    <mergeCell ref="BZ176:BZ177"/>
    <mergeCell ref="BY176:BY177"/>
    <mergeCell ref="BX176:BX177"/>
    <mergeCell ref="BW176:BW177"/>
    <mergeCell ref="BV176:BV177"/>
    <mergeCell ref="BU176:BU177"/>
    <mergeCell ref="BT176:BT177"/>
    <mergeCell ref="BQ176:BQ177"/>
    <mergeCell ref="CC176:CC177"/>
    <mergeCell ref="CB176:CB177"/>
    <mergeCell ref="CA176:CA177"/>
    <mergeCell ref="BS176:BS177"/>
    <mergeCell ref="BR176:BR177"/>
    <mergeCell ref="CH176:CH177"/>
    <mergeCell ref="CG176:CG177"/>
    <mergeCell ref="CF176:CF177"/>
    <mergeCell ref="CE176:CE177"/>
    <mergeCell ref="CD176:CD177"/>
    <mergeCell ref="CQ161:CQ163"/>
    <mergeCell ref="CP161:CP163"/>
    <mergeCell ref="CO131:CO132"/>
    <mergeCell ref="CN131:CN132"/>
    <mergeCell ref="CR135:CR136"/>
    <mergeCell ref="CQ135:CQ136"/>
    <mergeCell ref="CR145:CR146"/>
    <mergeCell ref="CH145:CH146"/>
    <mergeCell ref="CR131:CR132"/>
    <mergeCell ref="CQ131:CQ132"/>
    <mergeCell ref="CP131:CP132"/>
    <mergeCell ref="CR161:CR163"/>
    <mergeCell ref="CM121:CM122"/>
    <mergeCell ref="CL121:CL122"/>
    <mergeCell ref="CJ161:CJ163"/>
    <mergeCell ref="CM131:CM132"/>
    <mergeCell ref="CL131:CL132"/>
    <mergeCell ref="CK131:CK132"/>
    <mergeCell ref="CM161:CM163"/>
    <mergeCell ref="CH161:CH163"/>
    <mergeCell ref="CI135:CI136"/>
    <mergeCell ref="CN161:CN163"/>
    <mergeCell ref="AH121:AH122"/>
    <mergeCell ref="AO231:AO232"/>
    <mergeCell ref="AN231:AN232"/>
    <mergeCell ref="AM231:AM232"/>
    <mergeCell ref="AL231:AL232"/>
    <mergeCell ref="CQ199:CQ202"/>
    <mergeCell ref="BW235:BW236"/>
    <mergeCell ref="BV235:BV236"/>
    <mergeCell ref="BU235:BU236"/>
    <mergeCell ref="CB231:CB232"/>
    <mergeCell ref="BR131:BR132"/>
    <mergeCell ref="CQ145:CQ146"/>
    <mergeCell ref="CP145:CP146"/>
    <mergeCell ref="CO145:CO146"/>
    <mergeCell ref="BQ145:BQ146"/>
    <mergeCell ref="BR145:BR146"/>
    <mergeCell ref="BS161:BS163"/>
    <mergeCell ref="CJ131:CJ132"/>
    <mergeCell ref="CI131:CI132"/>
    <mergeCell ref="CN145:CN146"/>
    <mergeCell ref="BY121:BY122"/>
    <mergeCell ref="BX121:BX122"/>
    <mergeCell ref="BR121:BR122"/>
    <mergeCell ref="BQ121:BQ122"/>
    <mergeCell ref="CE131:CE132"/>
    <mergeCell ref="BT131:BT132"/>
    <mergeCell ref="BS131:BS132"/>
    <mergeCell ref="CG121:CG122"/>
    <mergeCell ref="CF121:CF122"/>
    <mergeCell ref="CG135:CG136"/>
    <mergeCell ref="CJ135:CJ136"/>
    <mergeCell ref="CG161:CG163"/>
    <mergeCell ref="BZ131:BZ132"/>
    <mergeCell ref="BQ131:BQ132"/>
    <mergeCell ref="CP121:CP122"/>
    <mergeCell ref="CO121:CO122"/>
    <mergeCell ref="CN121:CN122"/>
    <mergeCell ref="BZ135:BZ136"/>
    <mergeCell ref="CD121:CD122"/>
    <mergeCell ref="CN199:CN202"/>
    <mergeCell ref="CD203:CD204"/>
    <mergeCell ref="CN203:CN204"/>
    <mergeCell ref="BF176:BF177"/>
    <mergeCell ref="AP231:AP232"/>
    <mergeCell ref="AU231:AU232"/>
    <mergeCell ref="AO203:AO204"/>
    <mergeCell ref="CC231:CC232"/>
    <mergeCell ref="BN176:BN177"/>
    <mergeCell ref="BM176:BM177"/>
    <mergeCell ref="BL176:BL177"/>
    <mergeCell ref="BK176:BK177"/>
    <mergeCell ref="CF161:CF163"/>
    <mergeCell ref="BT203:BT204"/>
    <mergeCell ref="BY203:BY204"/>
    <mergeCell ref="CE231:CE232"/>
    <mergeCell ref="CD231:CD232"/>
    <mergeCell ref="AU176:AU177"/>
    <mergeCell ref="AT176:AT177"/>
    <mergeCell ref="AS176:AS177"/>
    <mergeCell ref="AR176:AR177"/>
    <mergeCell ref="AQ176:AQ177"/>
    <mergeCell ref="AP176:AP177"/>
    <mergeCell ref="CD131:CD132"/>
    <mergeCell ref="CO161:CO163"/>
    <mergeCell ref="BO131:BO132"/>
    <mergeCell ref="BE101:BE102"/>
    <mergeCell ref="AX176:AX177"/>
    <mergeCell ref="AO235:AO236"/>
    <mergeCell ref="AX231:AX232"/>
    <mergeCell ref="AW231:AW232"/>
    <mergeCell ref="AY176:AY177"/>
    <mergeCell ref="AS161:AS163"/>
    <mergeCell ref="AR161:AR163"/>
    <mergeCell ref="AQ161:AQ163"/>
    <mergeCell ref="AP161:AP163"/>
    <mergeCell ref="AO161:AO163"/>
    <mergeCell ref="BJ101:BJ102"/>
    <mergeCell ref="BJ131:BJ132"/>
    <mergeCell ref="BI131:BI132"/>
    <mergeCell ref="B120:CM120"/>
    <mergeCell ref="BP161:BP163"/>
    <mergeCell ref="CL161:CL163"/>
    <mergeCell ref="CK161:CK163"/>
    <mergeCell ref="BW145:BW146"/>
    <mergeCell ref="BK131:BK132"/>
    <mergeCell ref="BA145:BA146"/>
    <mergeCell ref="AV131:AV132"/>
    <mergeCell ref="AU131:AU132"/>
    <mergeCell ref="BF161:BF163"/>
    <mergeCell ref="CC131:CC132"/>
    <mergeCell ref="AG131:AG132"/>
    <mergeCell ref="AV231:AV232"/>
    <mergeCell ref="BE176:BE177"/>
    <mergeCell ref="BT231:BT232"/>
    <mergeCell ref="BM231:BM232"/>
    <mergeCell ref="BO161:BO163"/>
    <mergeCell ref="BA203:BA204"/>
    <mergeCell ref="BB203:BB204"/>
    <mergeCell ref="BE203:BE204"/>
    <mergeCell ref="BF203:BF204"/>
    <mergeCell ref="BG203:BG204"/>
    <mergeCell ref="BJ176:BJ177"/>
    <mergeCell ref="AE176:AE177"/>
    <mergeCell ref="X227:X230"/>
    <mergeCell ref="W227:W230"/>
    <mergeCell ref="V227:V230"/>
    <mergeCell ref="BI161:BI163"/>
    <mergeCell ref="BH161:BH163"/>
    <mergeCell ref="BH176:BH177"/>
    <mergeCell ref="BG176:BG177"/>
    <mergeCell ref="AI176:AI177"/>
    <mergeCell ref="AJ231:AJ232"/>
    <mergeCell ref="AI231:AI232"/>
    <mergeCell ref="AH231:AH232"/>
    <mergeCell ref="BD176:BD177"/>
    <mergeCell ref="BD231:BD232"/>
    <mergeCell ref="AI161:AI163"/>
    <mergeCell ref="AG231:AG232"/>
    <mergeCell ref="AF231:AF232"/>
    <mergeCell ref="AE231:AE232"/>
    <mergeCell ref="AD231:AD232"/>
    <mergeCell ref="AC231:AC232"/>
    <mergeCell ref="AF161:AF163"/>
    <mergeCell ref="AU199:AU202"/>
    <mergeCell ref="BI199:BI202"/>
    <mergeCell ref="BH199:BH202"/>
    <mergeCell ref="BG199:BG202"/>
    <mergeCell ref="AK135:AK136"/>
    <mergeCell ref="AT161:AT163"/>
    <mergeCell ref="AZ131:AZ132"/>
    <mergeCell ref="BD131:BD132"/>
    <mergeCell ref="BC131:BC132"/>
    <mergeCell ref="BB131:BB132"/>
    <mergeCell ref="BA131:BA132"/>
    <mergeCell ref="AQ131:AQ132"/>
    <mergeCell ref="AO131:AO132"/>
    <mergeCell ref="AN131:AN132"/>
    <mergeCell ref="AM131:AM132"/>
    <mergeCell ref="AP135:AP136"/>
    <mergeCell ref="AW135:AW136"/>
    <mergeCell ref="AV135:AV136"/>
    <mergeCell ref="BE161:BE163"/>
    <mergeCell ref="BD161:BD163"/>
    <mergeCell ref="BC161:BC163"/>
    <mergeCell ref="BB161:BB163"/>
    <mergeCell ref="BA161:BA163"/>
    <mergeCell ref="AL161:AL163"/>
    <mergeCell ref="AK161:AK163"/>
    <mergeCell ref="AM145:AM146"/>
    <mergeCell ref="B135:B136"/>
    <mergeCell ref="C135:C136"/>
    <mergeCell ref="B131:B132"/>
    <mergeCell ref="C131:C132"/>
    <mergeCell ref="AA176:AA177"/>
    <mergeCell ref="AD121:AD122"/>
    <mergeCell ref="C176:C177"/>
    <mergeCell ref="D176:D177"/>
    <mergeCell ref="AZ161:AZ163"/>
    <mergeCell ref="AX161:AX163"/>
    <mergeCell ref="AW161:AW163"/>
    <mergeCell ref="AV161:AV163"/>
    <mergeCell ref="AG101:AG102"/>
    <mergeCell ref="BE131:BE132"/>
    <mergeCell ref="AD131:AD132"/>
    <mergeCell ref="AX131:AX132"/>
    <mergeCell ref="AC131:AC132"/>
    <mergeCell ref="AB131:AB132"/>
    <mergeCell ref="AK131:AK132"/>
    <mergeCell ref="AM176:AM177"/>
    <mergeCell ref="AN176:AN177"/>
    <mergeCell ref="AO176:AO177"/>
    <mergeCell ref="AD176:AD177"/>
    <mergeCell ref="AC135:AC136"/>
    <mergeCell ref="AE135:AE136"/>
    <mergeCell ref="AD135:AD136"/>
    <mergeCell ref="AG135:AG136"/>
    <mergeCell ref="AL135:AL136"/>
    <mergeCell ref="F105:F108"/>
    <mergeCell ref="S105:S108"/>
    <mergeCell ref="Y105:Y108"/>
    <mergeCell ref="AL131:AL132"/>
    <mergeCell ref="D40:D50"/>
    <mergeCell ref="BG84:BG85"/>
    <mergeCell ref="BH84:BH85"/>
    <mergeCell ref="CI161:CI163"/>
    <mergeCell ref="AE71:AE72"/>
    <mergeCell ref="AF71:AF72"/>
    <mergeCell ref="AC71:AC72"/>
    <mergeCell ref="AD71:AD72"/>
    <mergeCell ref="BX95:BX97"/>
    <mergeCell ref="BZ101:BZ102"/>
    <mergeCell ref="BT161:BT163"/>
    <mergeCell ref="BV121:BV122"/>
    <mergeCell ref="BU121:BU122"/>
    <mergeCell ref="BV145:BV146"/>
    <mergeCell ref="BT121:BT122"/>
    <mergeCell ref="BS121:BS122"/>
    <mergeCell ref="BW121:BW122"/>
    <mergeCell ref="CH131:CH132"/>
    <mergeCell ref="CG131:CG132"/>
    <mergeCell ref="AO135:AO136"/>
    <mergeCell ref="AN135:AN136"/>
    <mergeCell ref="AW131:AW132"/>
    <mergeCell ref="AP101:AP102"/>
    <mergeCell ref="BK101:BK102"/>
    <mergeCell ref="AE161:AE163"/>
    <mergeCell ref="AD161:AD163"/>
    <mergeCell ref="AC161:AC163"/>
    <mergeCell ref="AB161:AB163"/>
    <mergeCell ref="BQ161:BQ163"/>
    <mergeCell ref="BM145:BM146"/>
    <mergeCell ref="AZ145:AZ146"/>
    <mergeCell ref="BI145:BI146"/>
    <mergeCell ref="A135:A136"/>
    <mergeCell ref="A121:A122"/>
    <mergeCell ref="B121:B122"/>
    <mergeCell ref="C121:C122"/>
    <mergeCell ref="D121:D122"/>
    <mergeCell ref="E121:E122"/>
    <mergeCell ref="A128:A129"/>
    <mergeCell ref="B128:B129"/>
    <mergeCell ref="B130:CM130"/>
    <mergeCell ref="A131:A132"/>
    <mergeCell ref="BM161:BM163"/>
    <mergeCell ref="BL161:BL163"/>
    <mergeCell ref="BK161:BK163"/>
    <mergeCell ref="BJ161:BJ163"/>
    <mergeCell ref="CC161:CC163"/>
    <mergeCell ref="CI145:CI146"/>
    <mergeCell ref="CM145:CM146"/>
    <mergeCell ref="AM135:AM136"/>
    <mergeCell ref="BY131:BY132"/>
    <mergeCell ref="BX131:BX132"/>
    <mergeCell ref="CB131:CB132"/>
    <mergeCell ref="CA131:CA132"/>
    <mergeCell ref="AN161:AN163"/>
    <mergeCell ref="AM161:AM163"/>
    <mergeCell ref="AN145:AN146"/>
    <mergeCell ref="B160:CM160"/>
    <mergeCell ref="BN161:BN163"/>
    <mergeCell ref="BG145:BG146"/>
    <mergeCell ref="AF131:AF132"/>
    <mergeCell ref="AE131:AE132"/>
    <mergeCell ref="AY131:AY132"/>
    <mergeCell ref="BG161:BG163"/>
    <mergeCell ref="BW331:BW332"/>
    <mergeCell ref="BM331:BM332"/>
    <mergeCell ref="BE331:BE332"/>
    <mergeCell ref="BR331:BR332"/>
    <mergeCell ref="BS331:BS332"/>
    <mergeCell ref="BD331:BD332"/>
    <mergeCell ref="AH324:AH325"/>
    <mergeCell ref="AI324:AI325"/>
    <mergeCell ref="AA324:AA325"/>
    <mergeCell ref="BJ324:BJ325"/>
    <mergeCell ref="CF326:CF330"/>
    <mergeCell ref="BQ331:BQ332"/>
    <mergeCell ref="BL331:BL332"/>
    <mergeCell ref="BH324:BH325"/>
    <mergeCell ref="AK326:AK330"/>
    <mergeCell ref="CC326:CC330"/>
    <mergeCell ref="BJ326:BJ330"/>
    <mergeCell ref="BI326:BI330"/>
    <mergeCell ref="BE326:BE330"/>
    <mergeCell ref="BD326:BD330"/>
    <mergeCell ref="CA331:CA332"/>
    <mergeCell ref="AV331:AV332"/>
    <mergeCell ref="AW331:AW332"/>
    <mergeCell ref="AX331:AX332"/>
    <mergeCell ref="AY331:AY332"/>
    <mergeCell ref="AF331:AF332"/>
    <mergeCell ref="BX331:BX332"/>
    <mergeCell ref="BT331:BT332"/>
    <mergeCell ref="BU331:BU332"/>
    <mergeCell ref="AW326:AW330"/>
    <mergeCell ref="AO331:AO332"/>
    <mergeCell ref="AP331:AP332"/>
    <mergeCell ref="CI326:CI330"/>
    <mergeCell ref="AP326:AP330"/>
    <mergeCell ref="AO326:AO330"/>
    <mergeCell ref="AD326:AD330"/>
    <mergeCell ref="B175:E175"/>
    <mergeCell ref="E161:E163"/>
    <mergeCell ref="D161:D163"/>
    <mergeCell ref="BA176:BA177"/>
    <mergeCell ref="AZ176:AZ177"/>
    <mergeCell ref="V257:V258"/>
    <mergeCell ref="J297:J298"/>
    <mergeCell ref="I297:I298"/>
    <mergeCell ref="H297:H298"/>
    <mergeCell ref="G297:G298"/>
    <mergeCell ref="Z297:Z298"/>
    <mergeCell ref="Y297:Y298"/>
    <mergeCell ref="AT324:AT325"/>
    <mergeCell ref="AU324:AU325"/>
    <mergeCell ref="BT324:BT325"/>
    <mergeCell ref="BU324:BU325"/>
    <mergeCell ref="AD324:AD325"/>
    <mergeCell ref="BW324:BW325"/>
    <mergeCell ref="BU318:BU323"/>
    <mergeCell ref="AW318:AW323"/>
    <mergeCell ref="AF318:AF323"/>
    <mergeCell ref="AY324:AY325"/>
    <mergeCell ref="AX318:AX323"/>
    <mergeCell ref="AY318:AY323"/>
    <mergeCell ref="AE277:AE278"/>
    <mergeCell ref="AF277:AF278"/>
    <mergeCell ref="R297:R298"/>
    <mergeCell ref="BR318:BR323"/>
    <mergeCell ref="E364:E365"/>
    <mergeCell ref="D364:D365"/>
    <mergeCell ref="N363:N364"/>
    <mergeCell ref="X297:X298"/>
    <mergeCell ref="W297:W298"/>
    <mergeCell ref="V297:V298"/>
    <mergeCell ref="U297:U298"/>
    <mergeCell ref="AW235:AW236"/>
    <mergeCell ref="AJ244:AJ245"/>
    <mergeCell ref="AI244:AI245"/>
    <mergeCell ref="A269:A271"/>
    <mergeCell ref="B269:B271"/>
    <mergeCell ref="A272:A273"/>
    <mergeCell ref="B272:B273"/>
    <mergeCell ref="N277:N278"/>
    <mergeCell ref="B274:B275"/>
    <mergeCell ref="AR280:AR281"/>
    <mergeCell ref="A291:A292"/>
    <mergeCell ref="AC291:AC292"/>
    <mergeCell ref="AB291:AB292"/>
    <mergeCell ref="AA291:AA292"/>
    <mergeCell ref="A274:A275"/>
    <mergeCell ref="AD277:AD278"/>
    <mergeCell ref="A264:A267"/>
    <mergeCell ref="AE235:AE236"/>
    <mergeCell ref="AC235:AC236"/>
    <mergeCell ref="A239:A241"/>
    <mergeCell ref="B239:B241"/>
    <mergeCell ref="A244:A245"/>
    <mergeCell ref="E248:E252"/>
    <mergeCell ref="V259:V262"/>
    <mergeCell ref="U259:U262"/>
    <mergeCell ref="CI372:CI373"/>
    <mergeCell ref="AG342:AG343"/>
    <mergeCell ref="BB342:BB343"/>
    <mergeCell ref="AH342:AH343"/>
    <mergeCell ref="BQ342:BQ343"/>
    <mergeCell ref="BR342:BR343"/>
    <mergeCell ref="BS342:BS343"/>
    <mergeCell ref="BH342:BH343"/>
    <mergeCell ref="BI342:BI343"/>
    <mergeCell ref="BJ342:BJ343"/>
    <mergeCell ref="BC342:BC343"/>
    <mergeCell ref="BF342:BF343"/>
    <mergeCell ref="BN342:BN343"/>
    <mergeCell ref="BO342:BO343"/>
    <mergeCell ref="AW342:AW343"/>
    <mergeCell ref="AJ342:AJ343"/>
    <mergeCell ref="AK342:AK343"/>
    <mergeCell ref="AL342:AL343"/>
    <mergeCell ref="AM342:AM343"/>
    <mergeCell ref="AN342:AN343"/>
    <mergeCell ref="AO342:AO343"/>
    <mergeCell ref="AI342:AI343"/>
    <mergeCell ref="AQ342:AQ343"/>
    <mergeCell ref="AR342:AR343"/>
    <mergeCell ref="AS342:AS343"/>
    <mergeCell ref="AY372:AY373"/>
    <mergeCell ref="AX372:AX373"/>
    <mergeCell ref="AW372:AW373"/>
    <mergeCell ref="AV372:AV373"/>
    <mergeCell ref="AU372:AU373"/>
    <mergeCell ref="AX342:AX343"/>
    <mergeCell ref="AY342:AY343"/>
    <mergeCell ref="CK342:CK343"/>
    <mergeCell ref="BA342:BA343"/>
    <mergeCell ref="AP342:AP343"/>
    <mergeCell ref="BD342:BD343"/>
    <mergeCell ref="BY342:BY343"/>
    <mergeCell ref="AQ372:AQ373"/>
    <mergeCell ref="AO372:AO373"/>
    <mergeCell ref="AN372:AN373"/>
    <mergeCell ref="BC372:BC373"/>
    <mergeCell ref="BV372:BV373"/>
    <mergeCell ref="CF342:CF343"/>
    <mergeCell ref="BX342:BX343"/>
    <mergeCell ref="AV342:AV343"/>
    <mergeCell ref="AT342:AT343"/>
    <mergeCell ref="AU342:AU343"/>
    <mergeCell ref="CG342:CG343"/>
    <mergeCell ref="CH342:CH343"/>
    <mergeCell ref="BR372:BR373"/>
    <mergeCell ref="AS372:AS373"/>
    <mergeCell ref="AR372:AR373"/>
    <mergeCell ref="CI342:CI343"/>
    <mergeCell ref="BE342:BE343"/>
    <mergeCell ref="BZ342:BZ343"/>
    <mergeCell ref="CA342:CA343"/>
    <mergeCell ref="CB342:CB343"/>
    <mergeCell ref="CC342:CC343"/>
    <mergeCell ref="CD342:CD343"/>
    <mergeCell ref="CE342:CE343"/>
    <mergeCell ref="BT342:BT343"/>
    <mergeCell ref="BU342:BU343"/>
    <mergeCell ref="BV342:BV343"/>
    <mergeCell ref="BW342:BW343"/>
    <mergeCell ref="AF342:AF343"/>
    <mergeCell ref="AM336:AM339"/>
    <mergeCell ref="AZ336:AZ339"/>
    <mergeCell ref="BE336:BE339"/>
    <mergeCell ref="BD336:BD339"/>
    <mergeCell ref="A336:A341"/>
    <mergeCell ref="B336:B341"/>
    <mergeCell ref="C336:C339"/>
    <mergeCell ref="D336:D339"/>
    <mergeCell ref="E336:E339"/>
    <mergeCell ref="AA336:AA339"/>
    <mergeCell ref="BC336:BC339"/>
    <mergeCell ref="BB336:BB339"/>
    <mergeCell ref="BA336:BA339"/>
    <mergeCell ref="AZ331:AZ332"/>
    <mergeCell ref="BA331:BA332"/>
    <mergeCell ref="BB331:BB332"/>
    <mergeCell ref="BC331:BC332"/>
    <mergeCell ref="AJ336:AJ339"/>
    <mergeCell ref="AI336:AI339"/>
    <mergeCell ref="AF336:AF339"/>
    <mergeCell ref="AE336:AE339"/>
    <mergeCell ref="AD336:AD339"/>
    <mergeCell ref="AC336:AC339"/>
    <mergeCell ref="AL336:AL339"/>
    <mergeCell ref="AK336:AK339"/>
    <mergeCell ref="AH336:AH339"/>
    <mergeCell ref="AG336:AG339"/>
    <mergeCell ref="AM331:AM332"/>
    <mergeCell ref="AS336:AS339"/>
    <mergeCell ref="AR336:AR339"/>
    <mergeCell ref="AQ336:AQ339"/>
    <mergeCell ref="AO336:AO339"/>
    <mergeCell ref="E333:E334"/>
    <mergeCell ref="F333:F334"/>
    <mergeCell ref="G333:G334"/>
    <mergeCell ref="AD331:AD332"/>
    <mergeCell ref="A326:A330"/>
    <mergeCell ref="BD324:BD325"/>
    <mergeCell ref="AP324:AP325"/>
    <mergeCell ref="BQ318:BQ323"/>
    <mergeCell ref="BI331:BI332"/>
    <mergeCell ref="BJ331:BJ332"/>
    <mergeCell ref="BK331:BK332"/>
    <mergeCell ref="BE324:BE325"/>
    <mergeCell ref="BF324:BF325"/>
    <mergeCell ref="BG324:BG325"/>
    <mergeCell ref="A318:A323"/>
    <mergeCell ref="A324:A325"/>
    <mergeCell ref="B324:B325"/>
    <mergeCell ref="C324:C325"/>
    <mergeCell ref="D324:D325"/>
    <mergeCell ref="E324:E325"/>
    <mergeCell ref="F324:F325"/>
    <mergeCell ref="AF324:AF325"/>
    <mergeCell ref="N326:N327"/>
    <mergeCell ref="N328:N330"/>
    <mergeCell ref="AJ324:AJ325"/>
    <mergeCell ref="AK324:AK325"/>
    <mergeCell ref="AL324:AL325"/>
    <mergeCell ref="AM324:AM325"/>
    <mergeCell ref="AN324:AN325"/>
    <mergeCell ref="AA331:AA332"/>
    <mergeCell ref="AN331:AN332"/>
    <mergeCell ref="BT318:BT323"/>
    <mergeCell ref="BM318:BM323"/>
    <mergeCell ref="BN318:BN323"/>
    <mergeCell ref="BM326:BM330"/>
    <mergeCell ref="BL326:BL330"/>
    <mergeCell ref="BT326:BT330"/>
    <mergeCell ref="BY324:BY325"/>
    <mergeCell ref="BN324:BN325"/>
    <mergeCell ref="BO324:BO325"/>
    <mergeCell ref="CA326:CA330"/>
    <mergeCell ref="BZ326:BZ330"/>
    <mergeCell ref="BY326:BY330"/>
    <mergeCell ref="BX326:BX330"/>
    <mergeCell ref="BW326:BW330"/>
    <mergeCell ref="BK318:BK323"/>
    <mergeCell ref="BF318:BF323"/>
    <mergeCell ref="BG318:BG323"/>
    <mergeCell ref="BH318:BH323"/>
    <mergeCell ref="CO324:CO325"/>
    <mergeCell ref="CN324:CN325"/>
    <mergeCell ref="CH318:CH323"/>
    <mergeCell ref="CI318:CI323"/>
    <mergeCell ref="BX318:BX323"/>
    <mergeCell ref="BY318:BY323"/>
    <mergeCell ref="BZ318:BZ323"/>
    <mergeCell ref="CA318:CA323"/>
    <mergeCell ref="CB318:CB323"/>
    <mergeCell ref="CC318:CC323"/>
    <mergeCell ref="CL324:CL325"/>
    <mergeCell ref="CF324:CF325"/>
    <mergeCell ref="CG324:CG325"/>
    <mergeCell ref="CH324:CH325"/>
    <mergeCell ref="CI324:CI325"/>
    <mergeCell ref="CQ318:CQ323"/>
    <mergeCell ref="CP318:CP323"/>
    <mergeCell ref="CO318:CO323"/>
    <mergeCell ref="CN318:CN323"/>
    <mergeCell ref="CD318:CD323"/>
    <mergeCell ref="CM318:CM323"/>
    <mergeCell ref="CJ318:CJ323"/>
    <mergeCell ref="CK318:CK323"/>
    <mergeCell ref="CL318:CL323"/>
    <mergeCell ref="CK324:CK325"/>
    <mergeCell ref="CE324:CE325"/>
    <mergeCell ref="BX324:BX325"/>
    <mergeCell ref="CJ324:CJ325"/>
    <mergeCell ref="CM324:CM325"/>
    <mergeCell ref="E277:E278"/>
    <mergeCell ref="F277:F278"/>
    <mergeCell ref="I277:I278"/>
    <mergeCell ref="G277:G278"/>
    <mergeCell ref="CR318:CR323"/>
    <mergeCell ref="CF318:CF323"/>
    <mergeCell ref="CG318:CG323"/>
    <mergeCell ref="B313:CM313"/>
    <mergeCell ref="BO318:BO323"/>
    <mergeCell ref="BI318:BI323"/>
    <mergeCell ref="B316:CM316"/>
    <mergeCell ref="B317:CM317"/>
    <mergeCell ref="CR277:CR278"/>
    <mergeCell ref="CQ277:CQ278"/>
    <mergeCell ref="CP277:CP278"/>
    <mergeCell ref="CO277:CO278"/>
    <mergeCell ref="CN277:CN278"/>
    <mergeCell ref="C280:C281"/>
    <mergeCell ref="T277:T278"/>
    <mergeCell ref="B318:B323"/>
    <mergeCell ref="CE291:CE292"/>
    <mergeCell ref="B311:CM311"/>
    <mergeCell ref="AN280:AN281"/>
    <mergeCell ref="AM280:AM281"/>
    <mergeCell ref="AK280:AK281"/>
    <mergeCell ref="BM291:BM292"/>
    <mergeCell ref="CI280:CI281"/>
    <mergeCell ref="CC277:CC278"/>
    <mergeCell ref="BE280:BE281"/>
    <mergeCell ref="BD280:BD281"/>
    <mergeCell ref="BS277:BS278"/>
    <mergeCell ref="BT277:BT278"/>
    <mergeCell ref="A284:A286"/>
    <mergeCell ref="B284:B286"/>
    <mergeCell ref="N318:N323"/>
    <mergeCell ref="Q277:Q278"/>
    <mergeCell ref="AA318:AA323"/>
    <mergeCell ref="C284:C286"/>
    <mergeCell ref="AO318:AO323"/>
    <mergeCell ref="AP318:AP323"/>
    <mergeCell ref="AJ318:AJ323"/>
    <mergeCell ref="BP318:BP323"/>
    <mergeCell ref="CE318:CE323"/>
    <mergeCell ref="AE318:AE323"/>
    <mergeCell ref="AU277:AU278"/>
    <mergeCell ref="AI318:AI323"/>
    <mergeCell ref="AK318:AK323"/>
    <mergeCell ref="AL318:AL323"/>
    <mergeCell ref="AM318:AM323"/>
    <mergeCell ref="BF280:BF281"/>
    <mergeCell ref="AT318:AT323"/>
    <mergeCell ref="AU318:AU323"/>
    <mergeCell ref="AV318:AV323"/>
    <mergeCell ref="C318:C323"/>
    <mergeCell ref="D318:D323"/>
    <mergeCell ref="F318:F319"/>
    <mergeCell ref="AR318:AR323"/>
    <mergeCell ref="AS318:AS323"/>
    <mergeCell ref="AQ280:AQ281"/>
    <mergeCell ref="BC291:BC292"/>
    <mergeCell ref="BB291:BB292"/>
    <mergeCell ref="BA291:BA292"/>
    <mergeCell ref="AG277:AG278"/>
    <mergeCell ref="BF277:BF278"/>
    <mergeCell ref="A235:A236"/>
    <mergeCell ref="F229:F230"/>
    <mergeCell ref="A248:A252"/>
    <mergeCell ref="B248:B252"/>
    <mergeCell ref="R257:R258"/>
    <mergeCell ref="F257:F258"/>
    <mergeCell ref="Y257:Y258"/>
    <mergeCell ref="T257:T258"/>
    <mergeCell ref="H259:H262"/>
    <mergeCell ref="E235:E236"/>
    <mergeCell ref="AB235:AB236"/>
    <mergeCell ref="AA235:AA236"/>
    <mergeCell ref="S208:S221"/>
    <mergeCell ref="I208:I221"/>
    <mergeCell ref="J208:J221"/>
    <mergeCell ref="D244:D245"/>
    <mergeCell ref="C244:C245"/>
    <mergeCell ref="B244:B245"/>
    <mergeCell ref="O249:O251"/>
    <mergeCell ref="C231:C232"/>
    <mergeCell ref="B235:B236"/>
    <mergeCell ref="C235:C236"/>
    <mergeCell ref="J259:J262"/>
    <mergeCell ref="I259:I262"/>
    <mergeCell ref="U227:U230"/>
    <mergeCell ref="T227:T230"/>
    <mergeCell ref="G208:G221"/>
    <mergeCell ref="T259:T262"/>
    <mergeCell ref="S259:S262"/>
    <mergeCell ref="B246:CM246"/>
    <mergeCell ref="BF244:BF245"/>
    <mergeCell ref="BP244:BP245"/>
    <mergeCell ref="AB244:AB245"/>
    <mergeCell ref="AA244:AA245"/>
    <mergeCell ref="K229:K230"/>
    <mergeCell ref="AH244:AH245"/>
    <mergeCell ref="AG244:AG245"/>
    <mergeCell ref="BX244:BX245"/>
    <mergeCell ref="BW244:BW245"/>
    <mergeCell ref="BY244:BY245"/>
    <mergeCell ref="CC244:CC245"/>
    <mergeCell ref="AR244:AR245"/>
    <mergeCell ref="AJ235:AJ236"/>
    <mergeCell ref="BE235:BE236"/>
    <mergeCell ref="BP231:BP232"/>
    <mergeCell ref="BO231:BO232"/>
    <mergeCell ref="BN231:BN232"/>
    <mergeCell ref="BE231:BE232"/>
    <mergeCell ref="AI235:AI236"/>
    <mergeCell ref="AH235:AH236"/>
    <mergeCell ref="AG235:AG236"/>
    <mergeCell ref="AD235:AD236"/>
    <mergeCell ref="BA235:BA236"/>
    <mergeCell ref="AT231:AT232"/>
    <mergeCell ref="BS244:BS245"/>
    <mergeCell ref="BJ244:BJ245"/>
    <mergeCell ref="BE244:BE245"/>
    <mergeCell ref="BD244:BD245"/>
    <mergeCell ref="AF244:AF245"/>
    <mergeCell ref="BC231:BC232"/>
    <mergeCell ref="AV235:AV236"/>
    <mergeCell ref="AU235:AU236"/>
    <mergeCell ref="AT235:AT236"/>
    <mergeCell ref="AS235:AS236"/>
    <mergeCell ref="A203:A204"/>
    <mergeCell ref="B203:B204"/>
    <mergeCell ref="C203:C204"/>
    <mergeCell ref="AJ199:AJ202"/>
    <mergeCell ref="AI199:AI202"/>
    <mergeCell ref="AT199:AT202"/>
    <mergeCell ref="AY199:AY202"/>
    <mergeCell ref="AX199:AX202"/>
    <mergeCell ref="AW199:AW202"/>
    <mergeCell ref="AC199:AC202"/>
    <mergeCell ref="D201:D202"/>
    <mergeCell ref="E201:E202"/>
    <mergeCell ref="G201:G202"/>
    <mergeCell ref="A199:A202"/>
    <mergeCell ref="B199:B202"/>
    <mergeCell ref="C199:C200"/>
    <mergeCell ref="D199:D200"/>
    <mergeCell ref="E199:E200"/>
    <mergeCell ref="G199:G200"/>
    <mergeCell ref="C201:C202"/>
    <mergeCell ref="AL203:AL204"/>
    <mergeCell ref="AS203:AS204"/>
    <mergeCell ref="AT203:AT204"/>
    <mergeCell ref="AU203:AU204"/>
    <mergeCell ref="AF203:AF204"/>
    <mergeCell ref="AJ203:AJ204"/>
    <mergeCell ref="AK203:AK204"/>
    <mergeCell ref="AH203:AH204"/>
    <mergeCell ref="AI203:AI204"/>
    <mergeCell ref="AV203:AV204"/>
    <mergeCell ref="AW203:AW204"/>
    <mergeCell ref="AK199:AK202"/>
    <mergeCell ref="A205:A206"/>
    <mergeCell ref="B205:B206"/>
    <mergeCell ref="AS199:AS202"/>
    <mergeCell ref="AX203:AX204"/>
    <mergeCell ref="A180:A181"/>
    <mergeCell ref="B180:B181"/>
    <mergeCell ref="A182:A183"/>
    <mergeCell ref="B182:B183"/>
    <mergeCell ref="A185:A186"/>
    <mergeCell ref="B185:B186"/>
    <mergeCell ref="AE199:AE202"/>
    <mergeCell ref="AD199:AD202"/>
    <mergeCell ref="O227:O228"/>
    <mergeCell ref="B198:CM198"/>
    <mergeCell ref="H208:H221"/>
    <mergeCell ref="A188:A190"/>
    <mergeCell ref="BN203:BN204"/>
    <mergeCell ref="BO203:BO204"/>
    <mergeCell ref="BP203:BP204"/>
    <mergeCell ref="BQ203:BQ204"/>
    <mergeCell ref="AP203:AP204"/>
    <mergeCell ref="AQ203:AQ204"/>
    <mergeCell ref="AR203:AR204"/>
    <mergeCell ref="AZ203:AZ204"/>
    <mergeCell ref="AA203:AA204"/>
    <mergeCell ref="AB203:AB204"/>
    <mergeCell ref="AC203:AC204"/>
    <mergeCell ref="AD203:AD204"/>
    <mergeCell ref="AE203:AE204"/>
    <mergeCell ref="BL203:BL204"/>
    <mergeCell ref="BM203:BM204"/>
    <mergeCell ref="AG203:AG204"/>
    <mergeCell ref="A161:A163"/>
    <mergeCell ref="AY161:AY163"/>
    <mergeCell ref="AP145:AP146"/>
    <mergeCell ref="AI145:AI146"/>
    <mergeCell ref="AC145:AC146"/>
    <mergeCell ref="AD145:AD146"/>
    <mergeCell ref="B161:B163"/>
    <mergeCell ref="A176:A177"/>
    <mergeCell ref="B176:B177"/>
    <mergeCell ref="AL176:AL177"/>
    <mergeCell ref="A145:A146"/>
    <mergeCell ref="B145:B146"/>
    <mergeCell ref="C145:C146"/>
    <mergeCell ref="AA145:AA146"/>
    <mergeCell ref="AB145:AB146"/>
    <mergeCell ref="AE145:AE146"/>
    <mergeCell ref="AF145:AF146"/>
    <mergeCell ref="AG145:AG146"/>
    <mergeCell ref="AH145:AH146"/>
    <mergeCell ref="AJ145:AJ146"/>
    <mergeCell ref="AK145:AK146"/>
    <mergeCell ref="AL145:AL146"/>
    <mergeCell ref="AU145:AU146"/>
    <mergeCell ref="AA161:AA163"/>
    <mergeCell ref="AW145:AW146"/>
    <mergeCell ref="C161:C163"/>
    <mergeCell ref="AH176:AH177"/>
    <mergeCell ref="AG176:AG177"/>
    <mergeCell ref="AF176:AF177"/>
    <mergeCell ref="AH161:AH163"/>
    <mergeCell ref="AG161:AG163"/>
    <mergeCell ref="B173:CM173"/>
    <mergeCell ref="CF145:CF146"/>
    <mergeCell ref="BY145:BY146"/>
    <mergeCell ref="BZ145:BZ146"/>
    <mergeCell ref="CA145:CA146"/>
    <mergeCell ref="CE145:CE146"/>
    <mergeCell ref="AY145:AY146"/>
    <mergeCell ref="CB161:CB163"/>
    <mergeCell ref="CA161:CA163"/>
    <mergeCell ref="BZ161:BZ163"/>
    <mergeCell ref="BY161:BY163"/>
    <mergeCell ref="BX161:BX163"/>
    <mergeCell ref="BW161:BW163"/>
    <mergeCell ref="BV161:BV163"/>
    <mergeCell ref="BU161:BU163"/>
    <mergeCell ref="BB176:BB177"/>
    <mergeCell ref="CD161:CD163"/>
    <mergeCell ref="BR161:BR163"/>
    <mergeCell ref="CD145:CD146"/>
    <mergeCell ref="BT199:BT202"/>
    <mergeCell ref="BS199:BS202"/>
    <mergeCell ref="BN145:BN146"/>
    <mergeCell ref="BO145:BO146"/>
    <mergeCell ref="BR199:BR202"/>
    <mergeCell ref="AJ161:AJ163"/>
    <mergeCell ref="AU161:AU163"/>
    <mergeCell ref="CE161:CE163"/>
    <mergeCell ref="BP131:BP132"/>
    <mergeCell ref="AS101:AS102"/>
    <mergeCell ref="AI135:AI136"/>
    <mergeCell ref="AQ101:AQ102"/>
    <mergeCell ref="CA101:CA102"/>
    <mergeCell ref="AP95:AP97"/>
    <mergeCell ref="AQ95:AQ97"/>
    <mergeCell ref="AM95:AM97"/>
    <mergeCell ref="AJ95:AJ97"/>
    <mergeCell ref="BF135:BF136"/>
    <mergeCell ref="CC121:CC122"/>
    <mergeCell ref="CB121:CB122"/>
    <mergeCell ref="CA121:CA122"/>
    <mergeCell ref="BZ121:BZ122"/>
    <mergeCell ref="AX145:AX146"/>
    <mergeCell ref="AY135:AY136"/>
    <mergeCell ref="AX135:AX136"/>
    <mergeCell ref="BT135:BT136"/>
    <mergeCell ref="BL135:BL136"/>
    <mergeCell ref="AQ135:AQ136"/>
    <mergeCell ref="BB145:BB146"/>
    <mergeCell ref="BJ145:BJ146"/>
    <mergeCell ref="BK145:BK146"/>
    <mergeCell ref="BL145:BL146"/>
    <mergeCell ref="BH135:BH136"/>
    <mergeCell ref="BG135:BG136"/>
    <mergeCell ref="BC135:BC136"/>
    <mergeCell ref="B152:CM152"/>
    <mergeCell ref="AA135:AA136"/>
    <mergeCell ref="AN199:AN202"/>
    <mergeCell ref="BU199:BU202"/>
    <mergeCell ref="BZ199:BZ202"/>
    <mergeCell ref="BY199:BY202"/>
    <mergeCell ref="B174:CM174"/>
    <mergeCell ref="BP176:BP177"/>
    <mergeCell ref="BV199:BV202"/>
    <mergeCell ref="BO199:BO202"/>
    <mergeCell ref="BN199:BN202"/>
    <mergeCell ref="BM199:BM202"/>
    <mergeCell ref="BF199:BF202"/>
    <mergeCell ref="AG199:AG202"/>
    <mergeCell ref="AF199:AF202"/>
    <mergeCell ref="BL199:BL202"/>
    <mergeCell ref="BI135:BI136"/>
    <mergeCell ref="CE135:CE136"/>
    <mergeCell ref="CD135:CD136"/>
    <mergeCell ref="AO145:AO146"/>
    <mergeCell ref="BE135:BE136"/>
    <mergeCell ref="CG145:CG146"/>
    <mergeCell ref="CF135:CF136"/>
    <mergeCell ref="BR135:BR136"/>
    <mergeCell ref="BQ135:BQ136"/>
    <mergeCell ref="BP135:BP136"/>
    <mergeCell ref="BO135:BO136"/>
    <mergeCell ref="BY135:BY136"/>
    <mergeCell ref="BX135:BX136"/>
    <mergeCell ref="BW135:BW136"/>
    <mergeCell ref="BV135:BV136"/>
    <mergeCell ref="CB145:CB146"/>
    <mergeCell ref="CC145:CC146"/>
    <mergeCell ref="AV145:AV146"/>
    <mergeCell ref="CR84:CR85"/>
    <mergeCell ref="CL84:CL85"/>
    <mergeCell ref="CA84:CA85"/>
    <mergeCell ref="CB84:CB85"/>
    <mergeCell ref="AS95:AS97"/>
    <mergeCell ref="AT95:AT97"/>
    <mergeCell ref="AV95:AV97"/>
    <mergeCell ref="AW95:AW97"/>
    <mergeCell ref="CG84:CG85"/>
    <mergeCell ref="BA101:BA102"/>
    <mergeCell ref="BK121:BK122"/>
    <mergeCell ref="CI84:CI85"/>
    <mergeCell ref="CJ84:CJ85"/>
    <mergeCell ref="CK84:CK85"/>
    <mergeCell ref="BT84:BT85"/>
    <mergeCell ref="BI84:BI85"/>
    <mergeCell ref="BJ84:BJ85"/>
    <mergeCell ref="BK84:BK85"/>
    <mergeCell ref="BP101:BP102"/>
    <mergeCell ref="BR95:BR97"/>
    <mergeCell ref="CJ121:CJ122"/>
    <mergeCell ref="CI121:CI122"/>
    <mergeCell ref="CH121:CH122"/>
    <mergeCell ref="BY101:BY102"/>
    <mergeCell ref="CR121:CR122"/>
    <mergeCell ref="CQ121:CQ122"/>
    <mergeCell ref="AU95:AU97"/>
    <mergeCell ref="V105:V108"/>
    <mergeCell ref="CR95:CR97"/>
    <mergeCell ref="CN95:CN97"/>
    <mergeCell ref="CH95:CH97"/>
    <mergeCell ref="CD95:CD97"/>
    <mergeCell ref="H97:H98"/>
    <mergeCell ref="I97:I98"/>
    <mergeCell ref="AF95:AF97"/>
    <mergeCell ref="BH95:BH97"/>
    <mergeCell ref="BI95:BI97"/>
    <mergeCell ref="AG95:AG97"/>
    <mergeCell ref="AH95:AH97"/>
    <mergeCell ref="AN95:AN97"/>
    <mergeCell ref="AO95:AO97"/>
    <mergeCell ref="BZ95:BZ97"/>
    <mergeCell ref="CA95:CA97"/>
    <mergeCell ref="CB95:CB97"/>
    <mergeCell ref="AX95:AX97"/>
    <mergeCell ref="BV95:BV97"/>
    <mergeCell ref="CI95:CI97"/>
    <mergeCell ref="CJ95:CJ97"/>
    <mergeCell ref="BO95:BO97"/>
    <mergeCell ref="BT95:BT97"/>
    <mergeCell ref="CR101:CR102"/>
    <mergeCell ref="AK95:AK97"/>
    <mergeCell ref="CO95:CO97"/>
    <mergeCell ref="CP95:CP97"/>
    <mergeCell ref="CC95:CC97"/>
    <mergeCell ref="CJ101:CJ102"/>
    <mergeCell ref="CI101:CI102"/>
    <mergeCell ref="AZ95:AZ97"/>
    <mergeCell ref="BU101:BU102"/>
    <mergeCell ref="BH121:BH122"/>
    <mergeCell ref="BO121:BO122"/>
    <mergeCell ref="AV121:AV122"/>
    <mergeCell ref="CK121:CK122"/>
    <mergeCell ref="BI121:BI122"/>
    <mergeCell ref="AY26:AY31"/>
    <mergeCell ref="AX26:AX31"/>
    <mergeCell ref="BE121:BE122"/>
    <mergeCell ref="BD121:BD122"/>
    <mergeCell ref="BC121:BC122"/>
    <mergeCell ref="BB121:BB122"/>
    <mergeCell ref="BA121:BA122"/>
    <mergeCell ref="CG101:CG102"/>
    <mergeCell ref="CF101:CF102"/>
    <mergeCell ref="CE101:CE102"/>
    <mergeCell ref="CD101:CD102"/>
    <mergeCell ref="BK26:BK31"/>
    <mergeCell ref="BN121:BN122"/>
    <mergeCell ref="CE71:CE72"/>
    <mergeCell ref="BX101:BX102"/>
    <mergeCell ref="AY71:AY72"/>
    <mergeCell ref="CE84:CE85"/>
    <mergeCell ref="BN84:BN85"/>
    <mergeCell ref="BS101:BS102"/>
    <mergeCell ref="BR101:BR102"/>
    <mergeCell ref="BQ101:BQ102"/>
    <mergeCell ref="CI71:CI72"/>
    <mergeCell ref="CA71:CA72"/>
    <mergeCell ref="CH101:CH102"/>
    <mergeCell ref="CC101:CC102"/>
    <mergeCell ref="CB101:CB102"/>
    <mergeCell ref="CD71:CD72"/>
    <mergeCell ref="CN71:CN72"/>
    <mergeCell ref="CC71:CC72"/>
    <mergeCell ref="CL71:CL72"/>
    <mergeCell ref="CM71:CM72"/>
    <mergeCell ref="B83:CM83"/>
    <mergeCell ref="BH71:BH72"/>
    <mergeCell ref="AN84:AN85"/>
    <mergeCell ref="AO84:AO85"/>
    <mergeCell ref="AP84:AP85"/>
    <mergeCell ref="AR84:AR85"/>
    <mergeCell ref="CL101:CL102"/>
    <mergeCell ref="BL84:BL85"/>
    <mergeCell ref="BM84:BM85"/>
    <mergeCell ref="CD84:CD85"/>
    <mergeCell ref="B71:B72"/>
    <mergeCell ref="AO101:AO102"/>
    <mergeCell ref="C95:C97"/>
    <mergeCell ref="AI71:AI72"/>
    <mergeCell ref="AF84:AF85"/>
    <mergeCell ref="AA101:AA102"/>
    <mergeCell ref="AJ101:AJ102"/>
    <mergeCell ref="F97:F98"/>
    <mergeCell ref="E95:E98"/>
    <mergeCell ref="AC95:AC97"/>
    <mergeCell ref="J97:J98"/>
    <mergeCell ref="Q97:Q98"/>
    <mergeCell ref="CF84:CF85"/>
    <mergeCell ref="BU84:BU85"/>
    <mergeCell ref="AE95:AE97"/>
    <mergeCell ref="CG95:CG97"/>
    <mergeCell ref="CE95:CE97"/>
    <mergeCell ref="BW101:BW102"/>
    <mergeCell ref="CL95:CL97"/>
    <mergeCell ref="CK95:CK97"/>
    <mergeCell ref="CM95:CM97"/>
    <mergeCell ref="BW95:BW97"/>
    <mergeCell ref="AH101:AH102"/>
    <mergeCell ref="BL95:BL97"/>
    <mergeCell ref="CQ84:CQ85"/>
    <mergeCell ref="CP84:CP85"/>
    <mergeCell ref="CO84:CO85"/>
    <mergeCell ref="CN84:CN85"/>
    <mergeCell ref="CM84:CM85"/>
    <mergeCell ref="BC84:BC85"/>
    <mergeCell ref="BY95:BY97"/>
    <mergeCell ref="BP95:BP97"/>
    <mergeCell ref="BQ95:BQ97"/>
    <mergeCell ref="BN95:BN97"/>
    <mergeCell ref="BZ84:BZ85"/>
    <mergeCell ref="CH84:CH85"/>
    <mergeCell ref="CF95:CF97"/>
    <mergeCell ref="BX84:BX85"/>
    <mergeCell ref="BG101:BG102"/>
    <mergeCell ref="CQ101:CQ102"/>
    <mergeCell ref="CP101:CP102"/>
    <mergeCell ref="CO101:CO102"/>
    <mergeCell ref="CQ95:CQ97"/>
    <mergeCell ref="CN101:CN102"/>
    <mergeCell ref="BT101:BT102"/>
    <mergeCell ref="BG95:BG97"/>
    <mergeCell ref="BL101:BL102"/>
    <mergeCell ref="BI101:BI102"/>
    <mergeCell ref="BD101:BD102"/>
    <mergeCell ref="AG26:AG31"/>
    <mergeCell ref="AF26:AF31"/>
    <mergeCell ref="AX84:AX85"/>
    <mergeCell ref="AY84:AY85"/>
    <mergeCell ref="CC84:CC85"/>
    <mergeCell ref="CF71:CF72"/>
    <mergeCell ref="CG71:CG72"/>
    <mergeCell ref="BG71:BG72"/>
    <mergeCell ref="AB71:AB72"/>
    <mergeCell ref="AU71:AU72"/>
    <mergeCell ref="A40:A50"/>
    <mergeCell ref="B40:B50"/>
    <mergeCell ref="BS71:BS72"/>
    <mergeCell ref="C6:C11"/>
    <mergeCell ref="D6:D11"/>
    <mergeCell ref="E6:E11"/>
    <mergeCell ref="BI71:BI72"/>
    <mergeCell ref="BZ71:BZ72"/>
    <mergeCell ref="AC26:AC31"/>
    <mergeCell ref="AB26:AB31"/>
    <mergeCell ref="AA26:AA31"/>
    <mergeCell ref="BD84:BD85"/>
    <mergeCell ref="BE84:BE85"/>
    <mergeCell ref="C71:C72"/>
    <mergeCell ref="E71:E72"/>
    <mergeCell ref="AG84:AG85"/>
    <mergeCell ref="AH84:AH85"/>
    <mergeCell ref="AI84:AI85"/>
    <mergeCell ref="AJ84:AJ85"/>
    <mergeCell ref="AJ26:AJ31"/>
    <mergeCell ref="BF71:BF72"/>
    <mergeCell ref="A6:A11"/>
    <mergeCell ref="B6:B11"/>
    <mergeCell ref="AA6:CH8"/>
    <mergeCell ref="CI6:CM10"/>
    <mergeCell ref="BT9:CH9"/>
    <mergeCell ref="AU10:AY10"/>
    <mergeCell ref="AZ10:BD10"/>
    <mergeCell ref="BE10:BI10"/>
    <mergeCell ref="AA9:AO9"/>
    <mergeCell ref="AP9:BD9"/>
    <mergeCell ref="BE9:BS9"/>
    <mergeCell ref="AA10:AE10"/>
    <mergeCell ref="BY10:CC10"/>
    <mergeCell ref="CD10:CH10"/>
    <mergeCell ref="I9:Q10"/>
    <mergeCell ref="AK10:AO10"/>
    <mergeCell ref="AP10:AT10"/>
    <mergeCell ref="BO10:BS10"/>
    <mergeCell ref="BT10:BX10"/>
    <mergeCell ref="BJ10:BN10"/>
    <mergeCell ref="U9:W10"/>
    <mergeCell ref="X9:Z10"/>
    <mergeCell ref="H9:H11"/>
    <mergeCell ref="AF10:AJ10"/>
    <mergeCell ref="F6:Z8"/>
    <mergeCell ref="F9:F11"/>
    <mergeCell ref="G9:G11"/>
    <mergeCell ref="CR71:CR72"/>
    <mergeCell ref="CQ71:CQ72"/>
    <mergeCell ref="CP71:CP72"/>
    <mergeCell ref="CO71:CO72"/>
    <mergeCell ref="BM71:BM72"/>
    <mergeCell ref="BN71:BN72"/>
    <mergeCell ref="BO71:BO72"/>
    <mergeCell ref="AT71:AT72"/>
    <mergeCell ref="BW71:BW72"/>
    <mergeCell ref="AZ71:AZ72"/>
    <mergeCell ref="BE71:BE72"/>
    <mergeCell ref="AO36:AO37"/>
    <mergeCell ref="BI36:BI37"/>
    <mergeCell ref="AM36:AM37"/>
    <mergeCell ref="AK26:AK31"/>
    <mergeCell ref="AL26:AL31"/>
    <mergeCell ref="AS26:AS31"/>
    <mergeCell ref="AW26:AW31"/>
    <mergeCell ref="AP26:AP31"/>
    <mergeCell ref="BO26:BO31"/>
    <mergeCell ref="BX71:BX72"/>
    <mergeCell ref="BY71:BY72"/>
    <mergeCell ref="AU26:AU31"/>
    <mergeCell ref="BC71:BC72"/>
    <mergeCell ref="BD71:BD72"/>
    <mergeCell ref="AS71:AS72"/>
    <mergeCell ref="AP71:AP72"/>
    <mergeCell ref="AQ71:AQ72"/>
    <mergeCell ref="CQ36:CQ37"/>
    <mergeCell ref="BC26:BC31"/>
    <mergeCell ref="BE26:BE31"/>
    <mergeCell ref="BA26:BA31"/>
    <mergeCell ref="AE26:AE31"/>
    <mergeCell ref="AD26:AD31"/>
    <mergeCell ref="BO101:BO102"/>
    <mergeCell ref="BN101:BN102"/>
    <mergeCell ref="BM101:BM102"/>
    <mergeCell ref="BH101:BH102"/>
    <mergeCell ref="BU95:BU97"/>
    <mergeCell ref="BV101:BV102"/>
    <mergeCell ref="BM95:BM97"/>
    <mergeCell ref="AY95:AY97"/>
    <mergeCell ref="BA95:BA97"/>
    <mergeCell ref="AN71:AN72"/>
    <mergeCell ref="AO71:AO72"/>
    <mergeCell ref="BA71:BA72"/>
    <mergeCell ref="BB71:BB72"/>
    <mergeCell ref="BE95:BE97"/>
    <mergeCell ref="BB101:BB102"/>
    <mergeCell ref="BH36:BH37"/>
    <mergeCell ref="AN36:AN37"/>
    <mergeCell ref="AH36:AH37"/>
    <mergeCell ref="AG36:AG37"/>
    <mergeCell ref="AD36:AD37"/>
    <mergeCell ref="AO26:AO31"/>
    <mergeCell ref="AN26:AN31"/>
    <mergeCell ref="B59:CM59"/>
    <mergeCell ref="BR26:BR31"/>
    <mergeCell ref="BD26:BD31"/>
    <mergeCell ref="BA36:BA37"/>
    <mergeCell ref="AZ36:AZ37"/>
    <mergeCell ref="AY36:AY37"/>
    <mergeCell ref="BP26:BP31"/>
    <mergeCell ref="BX36:BX37"/>
    <mergeCell ref="W257:W258"/>
    <mergeCell ref="X257:X258"/>
    <mergeCell ref="X259:X262"/>
    <mergeCell ref="W259:W262"/>
    <mergeCell ref="AQ318:AQ323"/>
    <mergeCell ref="AA280:AA281"/>
    <mergeCell ref="AT131:AT132"/>
    <mergeCell ref="AS131:AS132"/>
    <mergeCell ref="BL26:BL31"/>
    <mergeCell ref="AS244:AS245"/>
    <mergeCell ref="AV244:AV245"/>
    <mergeCell ref="AU244:AU245"/>
    <mergeCell ref="AT277:AT278"/>
    <mergeCell ref="AQ244:AQ245"/>
    <mergeCell ref="B304:CM304"/>
    <mergeCell ref="B305:CM305"/>
    <mergeCell ref="BP280:BP281"/>
    <mergeCell ref="BS145:BS146"/>
    <mergeCell ref="BT145:BT146"/>
    <mergeCell ref="BU145:BU146"/>
    <mergeCell ref="BX145:BX146"/>
    <mergeCell ref="BC145:BC146"/>
    <mergeCell ref="CH244:CH245"/>
    <mergeCell ref="E244:E245"/>
    <mergeCell ref="BL71:BL72"/>
    <mergeCell ref="BW36:BW37"/>
    <mergeCell ref="Y259:Y262"/>
    <mergeCell ref="BC36:BC37"/>
    <mergeCell ref="BB36:BB37"/>
    <mergeCell ref="BK71:BK72"/>
    <mergeCell ref="AH26:AH31"/>
    <mergeCell ref="CL244:CL245"/>
    <mergeCell ref="B12:CM12"/>
    <mergeCell ref="R9:T10"/>
    <mergeCell ref="AI26:AI31"/>
    <mergeCell ref="BS26:BS31"/>
    <mergeCell ref="AN121:AN122"/>
    <mergeCell ref="BD135:BD136"/>
    <mergeCell ref="AW101:AW102"/>
    <mergeCell ref="B91:CM91"/>
    <mergeCell ref="B92:CM92"/>
    <mergeCell ref="B93:CM93"/>
    <mergeCell ref="AT121:AT122"/>
    <mergeCell ref="AS121:AS122"/>
    <mergeCell ref="AR121:AR122"/>
    <mergeCell ref="AQ121:AQ122"/>
    <mergeCell ref="AF135:AF136"/>
    <mergeCell ref="AB101:AB102"/>
    <mergeCell ref="BB135:BB136"/>
    <mergeCell ref="AD95:AD97"/>
    <mergeCell ref="CM135:CM136"/>
    <mergeCell ref="CL135:CL136"/>
    <mergeCell ref="BJ135:BJ136"/>
    <mergeCell ref="AR135:AR136"/>
    <mergeCell ref="BW131:BW132"/>
    <mergeCell ref="BV131:BV132"/>
    <mergeCell ref="BK135:BK136"/>
    <mergeCell ref="BU135:BU136"/>
    <mergeCell ref="CH135:CH136"/>
    <mergeCell ref="AM26:AM31"/>
    <mergeCell ref="AT36:AT37"/>
    <mergeCell ref="BI26:BI31"/>
    <mergeCell ref="BH26:BH31"/>
    <mergeCell ref="BG26:BG31"/>
    <mergeCell ref="CL203:CL204"/>
    <mergeCell ref="CG203:CG204"/>
    <mergeCell ref="CH203:CH204"/>
    <mergeCell ref="BK203:BK204"/>
    <mergeCell ref="BU203:BU204"/>
    <mergeCell ref="BH280:BH281"/>
    <mergeCell ref="BG280:BG281"/>
    <mergeCell ref="BP199:BP202"/>
    <mergeCell ref="BT235:BT236"/>
    <mergeCell ref="BO280:BO281"/>
    <mergeCell ref="BX280:BX281"/>
    <mergeCell ref="BS203:BS204"/>
    <mergeCell ref="BR280:BR281"/>
    <mergeCell ref="CF277:CF278"/>
    <mergeCell ref="CA235:CA236"/>
    <mergeCell ref="BZ235:BZ236"/>
    <mergeCell ref="CC235:CC236"/>
    <mergeCell ref="CB235:CB236"/>
    <mergeCell ref="BV244:BV245"/>
    <mergeCell ref="BY277:BY278"/>
    <mergeCell ref="CB277:CB278"/>
    <mergeCell ref="BQ277:BQ278"/>
    <mergeCell ref="BZ277:BZ278"/>
    <mergeCell ref="CA277:CA278"/>
    <mergeCell ref="BW277:BW278"/>
    <mergeCell ref="BV277:BV278"/>
    <mergeCell ref="CD277:CD278"/>
    <mergeCell ref="CK244:CK245"/>
    <mergeCell ref="BK199:BK202"/>
    <mergeCell ref="BJ199:BJ202"/>
    <mergeCell ref="CG235:CG236"/>
    <mergeCell ref="CH280:CH281"/>
    <mergeCell ref="AX280:AX281"/>
    <mergeCell ref="CD291:CD292"/>
    <mergeCell ref="BZ291:BZ292"/>
    <mergeCell ref="BY291:BY292"/>
    <mergeCell ref="BX291:BX292"/>
    <mergeCell ref="BD291:BD292"/>
    <mergeCell ref="BZ280:BZ281"/>
    <mergeCell ref="BY280:BY281"/>
    <mergeCell ref="BU291:BU292"/>
    <mergeCell ref="BT291:BT292"/>
    <mergeCell ref="BS291:BS292"/>
    <mergeCell ref="BQ291:BQ292"/>
    <mergeCell ref="CA280:CA281"/>
    <mergeCell ref="AT280:AT281"/>
    <mergeCell ref="AS280:AS281"/>
    <mergeCell ref="CE244:CE245"/>
    <mergeCell ref="CD244:CD245"/>
    <mergeCell ref="CE277:CE278"/>
    <mergeCell ref="A280:A281"/>
    <mergeCell ref="E280:E281"/>
    <mergeCell ref="AC280:AC281"/>
    <mergeCell ref="AB280:AB281"/>
    <mergeCell ref="AH280:AH281"/>
    <mergeCell ref="BT280:BT281"/>
    <mergeCell ref="BS280:BS281"/>
    <mergeCell ref="AL280:AL281"/>
    <mergeCell ref="B296:CM296"/>
    <mergeCell ref="CM291:CM292"/>
    <mergeCell ref="CL291:CL292"/>
    <mergeCell ref="CK291:CK292"/>
    <mergeCell ref="CJ291:CJ292"/>
    <mergeCell ref="CI291:CI292"/>
    <mergeCell ref="CA291:CA292"/>
    <mergeCell ref="AU280:AU281"/>
    <mergeCell ref="AD318:AD323"/>
    <mergeCell ref="AU291:AU292"/>
    <mergeCell ref="AG318:AG323"/>
    <mergeCell ref="AY291:AY292"/>
    <mergeCell ref="B280:B281"/>
    <mergeCell ref="BN291:BN292"/>
    <mergeCell ref="BR291:BR292"/>
    <mergeCell ref="BA280:BA281"/>
    <mergeCell ref="AZ291:AZ292"/>
    <mergeCell ref="AX291:AX292"/>
    <mergeCell ref="AW291:AW292"/>
    <mergeCell ref="CE280:CE281"/>
    <mergeCell ref="CC280:CC281"/>
    <mergeCell ref="CG291:CG292"/>
    <mergeCell ref="CH291:CH292"/>
    <mergeCell ref="CC291:CC292"/>
    <mergeCell ref="D277:D278"/>
    <mergeCell ref="B277:B278"/>
    <mergeCell ref="C277:C278"/>
    <mergeCell ref="BP291:BP292"/>
    <mergeCell ref="BO291:BO292"/>
    <mergeCell ref="AH277:AH278"/>
    <mergeCell ref="AI277:AI278"/>
    <mergeCell ref="AT291:AT292"/>
    <mergeCell ref="BM277:BM278"/>
    <mergeCell ref="BP277:BP278"/>
    <mergeCell ref="AJ291:AJ292"/>
    <mergeCell ref="AI291:AI292"/>
    <mergeCell ref="BN277:BN278"/>
    <mergeCell ref="BO277:BO278"/>
    <mergeCell ref="AL277:AL278"/>
    <mergeCell ref="R277:R278"/>
    <mergeCell ref="S277:S278"/>
    <mergeCell ref="BJ291:BJ292"/>
    <mergeCell ref="AO280:AO281"/>
    <mergeCell ref="BL277:BL278"/>
    <mergeCell ref="BA277:BA278"/>
    <mergeCell ref="BB277:BB278"/>
    <mergeCell ref="BC277:BC278"/>
    <mergeCell ref="D280:D281"/>
    <mergeCell ref="AV277:AV278"/>
    <mergeCell ref="AW277:AW278"/>
    <mergeCell ref="AX277:AX278"/>
    <mergeCell ref="AY277:AY278"/>
    <mergeCell ref="AJ280:AJ281"/>
    <mergeCell ref="AI280:AI281"/>
    <mergeCell ref="E291:E292"/>
    <mergeCell ref="BK280:BK281"/>
    <mergeCell ref="K277:K278"/>
    <mergeCell ref="AF280:AF281"/>
    <mergeCell ref="BL291:BL292"/>
    <mergeCell ref="BD277:BD278"/>
    <mergeCell ref="BH277:BH278"/>
    <mergeCell ref="BI277:BI278"/>
    <mergeCell ref="BJ277:BJ278"/>
    <mergeCell ref="BG277:BG278"/>
    <mergeCell ref="BF291:BF292"/>
    <mergeCell ref="BE291:BE292"/>
    <mergeCell ref="AJ277:AJ278"/>
    <mergeCell ref="AV291:AV292"/>
    <mergeCell ref="AC277:AC278"/>
    <mergeCell ref="BK277:BK278"/>
    <mergeCell ref="AZ277:AZ278"/>
    <mergeCell ref="AN277:AN278"/>
    <mergeCell ref="AD280:AD281"/>
    <mergeCell ref="AH291:AH292"/>
    <mergeCell ref="AW280:AW281"/>
    <mergeCell ref="AV280:AV281"/>
    <mergeCell ref="AK291:AK292"/>
    <mergeCell ref="AR291:AR292"/>
    <mergeCell ref="AE280:AE281"/>
    <mergeCell ref="AP277:AP278"/>
    <mergeCell ref="AQ277:AQ278"/>
    <mergeCell ref="AM277:AM278"/>
    <mergeCell ref="AE291:AE292"/>
    <mergeCell ref="AD291:AD292"/>
    <mergeCell ref="AG291:AG292"/>
    <mergeCell ref="AP280:AP281"/>
    <mergeCell ref="AQ291:AQ292"/>
    <mergeCell ref="AP291:AP292"/>
    <mergeCell ref="C291:C292"/>
    <mergeCell ref="B291:B292"/>
    <mergeCell ref="BW291:BW292"/>
    <mergeCell ref="F326:F327"/>
    <mergeCell ref="BB280:BB281"/>
    <mergeCell ref="AE324:AE325"/>
    <mergeCell ref="BJ280:BJ281"/>
    <mergeCell ref="BI280:BI281"/>
    <mergeCell ref="D326:D330"/>
    <mergeCell ref="E326:E330"/>
    <mergeCell ref="AJ326:AJ330"/>
    <mergeCell ref="AI326:AI330"/>
    <mergeCell ref="AH326:AH330"/>
    <mergeCell ref="AG326:AG330"/>
    <mergeCell ref="AF326:AF330"/>
    <mergeCell ref="AE326:AE330"/>
    <mergeCell ref="BL318:BL323"/>
    <mergeCell ref="BB318:BB323"/>
    <mergeCell ref="BC318:BC323"/>
    <mergeCell ref="BD318:BD323"/>
    <mergeCell ref="BE318:BE323"/>
    <mergeCell ref="AZ280:AZ281"/>
    <mergeCell ref="BW280:BW281"/>
    <mergeCell ref="BV280:BV281"/>
    <mergeCell ref="AN326:AN330"/>
    <mergeCell ref="BN280:BN281"/>
    <mergeCell ref="BM280:BM281"/>
    <mergeCell ref="AL326:AL330"/>
    <mergeCell ref="AG280:AG281"/>
    <mergeCell ref="D291:D292"/>
    <mergeCell ref="AS291:AS292"/>
    <mergeCell ref="AF291:AF292"/>
    <mergeCell ref="J277:J278"/>
    <mergeCell ref="BE277:BE278"/>
    <mergeCell ref="BU277:BU278"/>
    <mergeCell ref="AK277:AK278"/>
    <mergeCell ref="V277:V278"/>
    <mergeCell ref="W277:W278"/>
    <mergeCell ref="X277:X278"/>
    <mergeCell ref="Y277:Y278"/>
    <mergeCell ref="AP244:AP245"/>
    <mergeCell ref="BH244:BH245"/>
    <mergeCell ref="BG244:BG245"/>
    <mergeCell ref="BN244:BN245"/>
    <mergeCell ref="BM244:BM245"/>
    <mergeCell ref="BL244:BL245"/>
    <mergeCell ref="AO244:AO245"/>
    <mergeCell ref="AN244:AN245"/>
    <mergeCell ref="AM244:AM245"/>
    <mergeCell ref="AO277:AO278"/>
    <mergeCell ref="AT244:AT245"/>
    <mergeCell ref="AX244:AX245"/>
    <mergeCell ref="U277:U278"/>
    <mergeCell ref="Z277:Z278"/>
    <mergeCell ref="AR277:AR278"/>
    <mergeCell ref="AS277:AS278"/>
    <mergeCell ref="AB277:AB278"/>
    <mergeCell ref="AD244:AD245"/>
    <mergeCell ref="R259:R262"/>
    <mergeCell ref="S257:S258"/>
    <mergeCell ref="N264:N267"/>
    <mergeCell ref="BC244:BC245"/>
    <mergeCell ref="BB244:BB245"/>
    <mergeCell ref="BR277:BR278"/>
    <mergeCell ref="AR26:AR31"/>
    <mergeCell ref="AQ26:AQ31"/>
    <mergeCell ref="CM244:CM245"/>
    <mergeCell ref="CB244:CB245"/>
    <mergeCell ref="AY203:AY204"/>
    <mergeCell ref="BE199:BE202"/>
    <mergeCell ref="BD199:BD202"/>
    <mergeCell ref="BC199:BC202"/>
    <mergeCell ref="CI203:CI204"/>
    <mergeCell ref="CM36:CM37"/>
    <mergeCell ref="B64:CM64"/>
    <mergeCell ref="AZ101:AZ102"/>
    <mergeCell ref="AY101:AY102"/>
    <mergeCell ref="AX101:AX102"/>
    <mergeCell ref="BU71:BU72"/>
    <mergeCell ref="AQ84:AQ85"/>
    <mergeCell ref="AM84:AM85"/>
    <mergeCell ref="AE84:AE85"/>
    <mergeCell ref="BU244:BU245"/>
    <mergeCell ref="BT244:BT245"/>
    <mergeCell ref="H38:H39"/>
    <mergeCell ref="F38:F39"/>
    <mergeCell ref="BG36:BG37"/>
    <mergeCell ref="BB26:BB31"/>
    <mergeCell ref="AB135:AB136"/>
    <mergeCell ref="BA135:BA136"/>
    <mergeCell ref="BP145:BP146"/>
    <mergeCell ref="AZ26:AZ31"/>
    <mergeCell ref="CE36:CE37"/>
    <mergeCell ref="CD36:CD37"/>
    <mergeCell ref="BN26:BN31"/>
    <mergeCell ref="BM26:BM31"/>
    <mergeCell ref="A36:A37"/>
    <mergeCell ref="E36:E37"/>
    <mergeCell ref="BT36:BT37"/>
    <mergeCell ref="BS36:BS37"/>
    <mergeCell ref="BR36:BR37"/>
    <mergeCell ref="BQ36:BQ37"/>
    <mergeCell ref="BP36:BP37"/>
    <mergeCell ref="BO36:BO37"/>
    <mergeCell ref="BN36:BN37"/>
    <mergeCell ref="BM36:BM37"/>
    <mergeCell ref="BL36:BL37"/>
    <mergeCell ref="BK36:BK37"/>
    <mergeCell ref="BJ36:BJ37"/>
    <mergeCell ref="CC36:CC37"/>
    <mergeCell ref="CB36:CB37"/>
    <mergeCell ref="CA36:CA37"/>
    <mergeCell ref="AU36:AU37"/>
    <mergeCell ref="C36:C37"/>
    <mergeCell ref="AV36:AV37"/>
    <mergeCell ref="AI36:AI37"/>
    <mergeCell ref="AL36:AL37"/>
    <mergeCell ref="AK36:AK37"/>
    <mergeCell ref="AJ36:AJ37"/>
    <mergeCell ref="AF36:AF37"/>
    <mergeCell ref="AE36:AE37"/>
    <mergeCell ref="AA36:AA37"/>
    <mergeCell ref="AS36:AS37"/>
    <mergeCell ref="AR36:AR37"/>
    <mergeCell ref="AQ36:AQ37"/>
    <mergeCell ref="BU36:BU37"/>
    <mergeCell ref="D36:D37"/>
    <mergeCell ref="AW36:AW37"/>
    <mergeCell ref="AT26:AT31"/>
    <mergeCell ref="AW244:AW245"/>
    <mergeCell ref="Q257:Q258"/>
    <mergeCell ref="CS372:CS373"/>
    <mergeCell ref="CS318:CS323"/>
    <mergeCell ref="CS324:CS325"/>
    <mergeCell ref="CS326:CS330"/>
    <mergeCell ref="CS331:CS332"/>
    <mergeCell ref="CS336:CS339"/>
    <mergeCell ref="CS342:CS343"/>
    <mergeCell ref="CA244:CA245"/>
    <mergeCell ref="CJ71:CJ72"/>
    <mergeCell ref="CQ203:CQ204"/>
    <mergeCell ref="CA135:CA136"/>
    <mergeCell ref="CB135:CB136"/>
    <mergeCell ref="CB203:CB204"/>
    <mergeCell ref="BP71:BP72"/>
    <mergeCell ref="B88:CM88"/>
    <mergeCell ref="B89:CM89"/>
    <mergeCell ref="BT71:BT72"/>
    <mergeCell ref="CJ203:CJ204"/>
    <mergeCell ref="AL244:AL245"/>
    <mergeCell ref="CP291:CP292"/>
    <mergeCell ref="B38:B39"/>
    <mergeCell ref="BL131:BL132"/>
    <mergeCell ref="AL84:AL85"/>
    <mergeCell ref="T105:T108"/>
    <mergeCell ref="CH71:CH72"/>
    <mergeCell ref="BW84:BW85"/>
    <mergeCell ref="AX71:AX72"/>
    <mergeCell ref="BQ71:BQ72"/>
    <mergeCell ref="BA84:BA85"/>
    <mergeCell ref="CE121:CE122"/>
    <mergeCell ref="G38:G39"/>
    <mergeCell ref="AY121:AY122"/>
    <mergeCell ref="Z105:Z108"/>
    <mergeCell ref="I105:I108"/>
    <mergeCell ref="AK71:AK72"/>
    <mergeCell ref="AL71:AL72"/>
    <mergeCell ref="AW84:AW85"/>
    <mergeCell ref="BV84:BV85"/>
    <mergeCell ref="BY84:BY85"/>
    <mergeCell ref="BB84:BB85"/>
    <mergeCell ref="BS95:BS97"/>
    <mergeCell ref="AZ84:AZ85"/>
    <mergeCell ref="BF84:BF85"/>
    <mergeCell ref="BJ95:BJ97"/>
    <mergeCell ref="AV71:AV72"/>
    <mergeCell ref="AW71:AW72"/>
    <mergeCell ref="J38:J39"/>
    <mergeCell ref="AR71:AR72"/>
    <mergeCell ref="BJ121:BJ122"/>
    <mergeCell ref="H105:H108"/>
    <mergeCell ref="AL101:AL102"/>
    <mergeCell ref="AS84:AS85"/>
    <mergeCell ref="AT84:AT85"/>
    <mergeCell ref="AU84:AU85"/>
    <mergeCell ref="AV84:AV85"/>
    <mergeCell ref="CB71:CB72"/>
    <mergeCell ref="BJ71:BJ72"/>
    <mergeCell ref="AZ121:AZ122"/>
    <mergeCell ref="BF121:BF122"/>
    <mergeCell ref="BM121:BM122"/>
    <mergeCell ref="BL121:BL122"/>
    <mergeCell ref="AX121:AX122"/>
    <mergeCell ref="AW121:AW122"/>
    <mergeCell ref="CB280:CB281"/>
    <mergeCell ref="AK244:AK245"/>
    <mergeCell ref="D248:D252"/>
    <mergeCell ref="AZ244:AZ245"/>
    <mergeCell ref="AY244:AY245"/>
    <mergeCell ref="CK203:CK204"/>
    <mergeCell ref="CM203:CM204"/>
    <mergeCell ref="BD203:BD204"/>
    <mergeCell ref="AZ135:AZ136"/>
    <mergeCell ref="BG121:BG122"/>
    <mergeCell ref="CI235:CI236"/>
    <mergeCell ref="CH235:CH236"/>
    <mergeCell ref="BL231:BL232"/>
    <mergeCell ref="AG121:AG122"/>
    <mergeCell ref="AM199:AM202"/>
    <mergeCell ref="CH199:CH202"/>
    <mergeCell ref="CG199:CG202"/>
    <mergeCell ref="AB176:AB177"/>
    <mergeCell ref="AK176:AK177"/>
    <mergeCell ref="AJ176:AJ177"/>
    <mergeCell ref="B140:CM140"/>
    <mergeCell ref="B141:CM141"/>
    <mergeCell ref="BK244:BK245"/>
    <mergeCell ref="U257:U258"/>
    <mergeCell ref="BA244:BA245"/>
    <mergeCell ref="P249:P251"/>
    <mergeCell ref="CJ244:CJ245"/>
    <mergeCell ref="CI244:CI245"/>
    <mergeCell ref="BJ203:BJ204"/>
    <mergeCell ref="CF131:CF132"/>
    <mergeCell ref="CG244:CG245"/>
    <mergeCell ref="CF244:CF245"/>
    <mergeCell ref="CL277:CL278"/>
    <mergeCell ref="CG277:CG278"/>
    <mergeCell ref="CH277:CH278"/>
    <mergeCell ref="CP244:CP245"/>
    <mergeCell ref="CP135:CP136"/>
    <mergeCell ref="CO135:CO136"/>
    <mergeCell ref="CN135:CN136"/>
    <mergeCell ref="AH135:AH136"/>
    <mergeCell ref="CN280:CN281"/>
    <mergeCell ref="CO291:CO292"/>
    <mergeCell ref="CN291:CN292"/>
    <mergeCell ref="CB291:CB292"/>
    <mergeCell ref="CO203:CO204"/>
    <mergeCell ref="CP203:CP204"/>
    <mergeCell ref="CP280:CP281"/>
    <mergeCell ref="CO280:CO281"/>
    <mergeCell ref="BK231:BK232"/>
    <mergeCell ref="BZ244:BZ245"/>
    <mergeCell ref="BX277:BX278"/>
    <mergeCell ref="AY280:AY281"/>
    <mergeCell ref="BL280:BL281"/>
    <mergeCell ref="CK277:CK278"/>
    <mergeCell ref="BV291:BV292"/>
    <mergeCell ref="CD280:CD281"/>
    <mergeCell ref="AO291:AO292"/>
    <mergeCell ref="AN291:AN292"/>
    <mergeCell ref="AM291:AM292"/>
    <mergeCell ref="AL291:AL292"/>
    <mergeCell ref="CG231:CG232"/>
    <mergeCell ref="CF231:CF232"/>
    <mergeCell ref="CR203:CR204"/>
    <mergeCell ref="CR280:CR281"/>
    <mergeCell ref="CQ280:CQ281"/>
    <mergeCell ref="CR244:CR245"/>
    <mergeCell ref="CQ244:CQ245"/>
    <mergeCell ref="CL26:CL31"/>
    <mergeCell ref="CK26:CK31"/>
    <mergeCell ref="CJ26:CJ31"/>
    <mergeCell ref="CR36:CR37"/>
    <mergeCell ref="CG280:CG281"/>
    <mergeCell ref="B104:CM104"/>
    <mergeCell ref="B111:CM111"/>
    <mergeCell ref="AF121:AF122"/>
    <mergeCell ref="AI121:AI122"/>
    <mergeCell ref="CF291:CF292"/>
    <mergeCell ref="AK121:AK122"/>
    <mergeCell ref="AS135:AS136"/>
    <mergeCell ref="BQ244:BQ245"/>
    <mergeCell ref="BQ280:BQ281"/>
    <mergeCell ref="BC280:BC281"/>
    <mergeCell ref="BU280:BU281"/>
    <mergeCell ref="AM71:AM72"/>
    <mergeCell ref="CJ36:CJ37"/>
    <mergeCell ref="CH36:CH37"/>
    <mergeCell ref="CG36:CG37"/>
    <mergeCell ref="CF36:CF37"/>
    <mergeCell ref="I38:I39"/>
    <mergeCell ref="P38:P39"/>
    <mergeCell ref="Q105:Q108"/>
    <mergeCell ref="J105:J108"/>
    <mergeCell ref="CK135:CK136"/>
    <mergeCell ref="AE121:AE122"/>
    <mergeCell ref="CS135:CS136"/>
    <mergeCell ref="CS145:CS146"/>
    <mergeCell ref="CS161:CS163"/>
    <mergeCell ref="BF36:BF37"/>
    <mergeCell ref="BE36:BE37"/>
    <mergeCell ref="BD36:BD37"/>
    <mergeCell ref="CS176:CS177"/>
    <mergeCell ref="CS199:CS202"/>
    <mergeCell ref="BV36:BV37"/>
    <mergeCell ref="CS26:CS31"/>
    <mergeCell ref="CS36:CS37"/>
    <mergeCell ref="CS71:CS72"/>
    <mergeCell ref="CS84:CS85"/>
    <mergeCell ref="CP36:CP37"/>
    <mergeCell ref="CO36:CO37"/>
    <mergeCell ref="CN36:CN37"/>
    <mergeCell ref="K38:K39"/>
    <mergeCell ref="BY26:BY31"/>
    <mergeCell ref="BX26:BX31"/>
    <mergeCell ref="BW26:BW31"/>
    <mergeCell ref="CD26:CD31"/>
    <mergeCell ref="AV26:AV31"/>
    <mergeCell ref="AX36:AX37"/>
    <mergeCell ref="BF26:BF31"/>
    <mergeCell ref="BY36:BY37"/>
    <mergeCell ref="CI26:CI31"/>
    <mergeCell ref="CH26:CH31"/>
    <mergeCell ref="CC26:CC31"/>
    <mergeCell ref="CR26:CR31"/>
    <mergeCell ref="CQ26:CQ31"/>
    <mergeCell ref="CP26:CP31"/>
    <mergeCell ref="CO26:CO31"/>
    <mergeCell ref="CS6:CS10"/>
    <mergeCell ref="CS95:CS97"/>
    <mergeCell ref="CS101:CS102"/>
    <mergeCell ref="CS121:CS122"/>
    <mergeCell ref="CS131:CS132"/>
    <mergeCell ref="CP199:CP202"/>
    <mergeCell ref="CO199:CO202"/>
    <mergeCell ref="BV71:BV72"/>
    <mergeCell ref="CC135:CC136"/>
    <mergeCell ref="AL199:AL202"/>
    <mergeCell ref="AP36:AP37"/>
    <mergeCell ref="BZ36:BZ37"/>
    <mergeCell ref="N38:N39"/>
    <mergeCell ref="AJ71:AJ72"/>
    <mergeCell ref="CI36:CI37"/>
    <mergeCell ref="E38:E39"/>
    <mergeCell ref="D38:D39"/>
    <mergeCell ref="CB26:CB31"/>
    <mergeCell ref="CA26:CA31"/>
    <mergeCell ref="BZ26:BZ31"/>
    <mergeCell ref="CG26:CG31"/>
    <mergeCell ref="CF26:CF31"/>
    <mergeCell ref="CE26:CE31"/>
    <mergeCell ref="BJ26:BJ31"/>
    <mergeCell ref="BV26:BV31"/>
    <mergeCell ref="BU26:BU31"/>
    <mergeCell ref="BT26:BT31"/>
    <mergeCell ref="BQ26:BQ31"/>
    <mergeCell ref="R105:R108"/>
    <mergeCell ref="E40:E50"/>
    <mergeCell ref="G105:G108"/>
    <mergeCell ref="B112:CM112"/>
    <mergeCell ref="CN26:CN31"/>
    <mergeCell ref="CL36:CL37"/>
    <mergeCell ref="CK36:CK37"/>
    <mergeCell ref="CN6:CR10"/>
    <mergeCell ref="CK101:CK102"/>
    <mergeCell ref="B147:CM147"/>
    <mergeCell ref="B144:CM144"/>
    <mergeCell ref="CK145:CK146"/>
    <mergeCell ref="CL145:CL146"/>
    <mergeCell ref="BN135:BN136"/>
    <mergeCell ref="BM135:BM136"/>
    <mergeCell ref="CJ145:CJ146"/>
    <mergeCell ref="F34:F35"/>
    <mergeCell ref="CM26:CM31"/>
    <mergeCell ref="J34:J35"/>
    <mergeCell ref="AJ121:AJ122"/>
    <mergeCell ref="BF101:BF102"/>
    <mergeCell ref="X105:X108"/>
    <mergeCell ref="U105:U108"/>
    <mergeCell ref="BP121:BP122"/>
    <mergeCell ref="BB95:BB97"/>
    <mergeCell ref="BC95:BC97"/>
    <mergeCell ref="AR101:AR102"/>
    <mergeCell ref="AK84:AK85"/>
    <mergeCell ref="B133:CM133"/>
    <mergeCell ref="AM121:AM122"/>
    <mergeCell ref="C38:C39"/>
    <mergeCell ref="B116:CM116"/>
    <mergeCell ref="W105:W108"/>
    <mergeCell ref="AR131:AR132"/>
    <mergeCell ref="BN131:BN132"/>
    <mergeCell ref="BM131:BM132"/>
    <mergeCell ref="A13:A14"/>
    <mergeCell ref="AR199:AR202"/>
    <mergeCell ref="AQ199:AQ202"/>
    <mergeCell ref="AP199:AP202"/>
    <mergeCell ref="AO199:AO202"/>
    <mergeCell ref="CD199:CD202"/>
    <mergeCell ref="CM199:CM202"/>
    <mergeCell ref="CL199:CL202"/>
    <mergeCell ref="CK199:CK202"/>
    <mergeCell ref="CJ199:CJ202"/>
    <mergeCell ref="CI199:CI202"/>
    <mergeCell ref="CF199:CF202"/>
    <mergeCell ref="CE199:CE202"/>
    <mergeCell ref="CC199:CC202"/>
    <mergeCell ref="CB199:CB202"/>
    <mergeCell ref="CA199:CA202"/>
    <mergeCell ref="BQ199:BQ202"/>
    <mergeCell ref="AV199:AV202"/>
    <mergeCell ref="AZ199:AZ202"/>
    <mergeCell ref="AC36:AC37"/>
    <mergeCell ref="N121:N122"/>
    <mergeCell ref="AB36:AB37"/>
    <mergeCell ref="N34:N35"/>
    <mergeCell ref="N71:N72"/>
    <mergeCell ref="Y97:Y98"/>
    <mergeCell ref="O84:O85"/>
    <mergeCell ref="B36:B37"/>
    <mergeCell ref="K34:K35"/>
    <mergeCell ref="P137:P138"/>
    <mergeCell ref="B13:E14"/>
    <mergeCell ref="G34:G35"/>
    <mergeCell ref="H34:H35"/>
    <mergeCell ref="CS291:CS292"/>
    <mergeCell ref="G387:G388"/>
    <mergeCell ref="H387:H388"/>
    <mergeCell ref="J387:J388"/>
    <mergeCell ref="K387:K388"/>
    <mergeCell ref="N331:N332"/>
    <mergeCell ref="N372:N373"/>
    <mergeCell ref="K105:K108"/>
    <mergeCell ref="K208:K221"/>
    <mergeCell ref="AN235:AN236"/>
    <mergeCell ref="AM235:AM236"/>
    <mergeCell ref="AL235:AL236"/>
    <mergeCell ref="AK235:AK236"/>
    <mergeCell ref="E318:E323"/>
    <mergeCell ref="AC318:AC323"/>
    <mergeCell ref="N280:N281"/>
    <mergeCell ref="AN203:AN204"/>
    <mergeCell ref="AM203:AM204"/>
    <mergeCell ref="AH199:AH202"/>
    <mergeCell ref="N105:N108"/>
    <mergeCell ref="N208:N221"/>
    <mergeCell ref="N227:N230"/>
    <mergeCell ref="N284:N286"/>
    <mergeCell ref="B263:CM263"/>
    <mergeCell ref="F259:F262"/>
    <mergeCell ref="G259:G262"/>
    <mergeCell ref="Q259:Q262"/>
    <mergeCell ref="H277:H278"/>
    <mergeCell ref="AA277:AA278"/>
    <mergeCell ref="CJ277:CJ278"/>
    <mergeCell ref="BS135:BS136"/>
    <mergeCell ref="CR199:CR202"/>
    <mergeCell ref="F387:F388"/>
    <mergeCell ref="CT97:CT98"/>
    <mergeCell ref="CT105:CT108"/>
    <mergeCell ref="CT121:CT122"/>
    <mergeCell ref="CT364:CT365"/>
    <mergeCell ref="CT385:CT386"/>
    <mergeCell ref="CT387:CT388"/>
    <mergeCell ref="N387:N388"/>
    <mergeCell ref="BK291:BK292"/>
    <mergeCell ref="CE203:CE204"/>
    <mergeCell ref="CF203:CF204"/>
    <mergeCell ref="CA203:CA204"/>
    <mergeCell ref="BR203:BR204"/>
    <mergeCell ref="BV203:BV204"/>
    <mergeCell ref="CC203:CC204"/>
    <mergeCell ref="BA199:BA202"/>
    <mergeCell ref="BW203:BW204"/>
    <mergeCell ref="BX203:BX204"/>
    <mergeCell ref="BB199:BB202"/>
    <mergeCell ref="Z259:Z262"/>
    <mergeCell ref="AP121:AP122"/>
    <mergeCell ref="AO121:AO122"/>
    <mergeCell ref="BD95:BD97"/>
    <mergeCell ref="BF95:BF97"/>
    <mergeCell ref="CS203:CS204"/>
    <mergeCell ref="CS231:CS232"/>
    <mergeCell ref="CS235:CS236"/>
    <mergeCell ref="BH203:BH204"/>
    <mergeCell ref="BI203:BI204"/>
    <mergeCell ref="CS244:CS245"/>
    <mergeCell ref="CS277:CS278"/>
    <mergeCell ref="CS280:CS281"/>
    <mergeCell ref="O394:O395"/>
    <mergeCell ref="L385:L386"/>
    <mergeCell ref="M385:M386"/>
    <mergeCell ref="L387:L388"/>
    <mergeCell ref="M387:M388"/>
    <mergeCell ref="A403:E403"/>
    <mergeCell ref="A404:E404"/>
    <mergeCell ref="L34:L35"/>
    <mergeCell ref="M34:M35"/>
    <mergeCell ref="L38:L39"/>
    <mergeCell ref="M38:M39"/>
    <mergeCell ref="L97:L98"/>
    <mergeCell ref="M97:M98"/>
    <mergeCell ref="L105:L108"/>
    <mergeCell ref="M105:M108"/>
    <mergeCell ref="L208:L221"/>
    <mergeCell ref="M208:M221"/>
    <mergeCell ref="L229:L230"/>
    <mergeCell ref="M229:M230"/>
    <mergeCell ref="L259:L262"/>
    <mergeCell ref="M259:M262"/>
    <mergeCell ref="L277:L278"/>
    <mergeCell ref="M277:M278"/>
    <mergeCell ref="L297:L298"/>
    <mergeCell ref="M297:M298"/>
    <mergeCell ref="A38:A39"/>
    <mergeCell ref="K363:K364"/>
    <mergeCell ref="A387:A388"/>
    <mergeCell ref="B387:B388"/>
    <mergeCell ref="C387:C388"/>
    <mergeCell ref="D387:D388"/>
    <mergeCell ref="E387:E388"/>
  </mergeCells>
  <pageMargins left="0.15748031496062992" right="0.15748031496062992" top="0.19685039370078741" bottom="0.28000000000000003" header="0.11811023622047245" footer="0.17"/>
  <pageSetup paperSize="9" scale="27" firstPageNumber="330" fitToHeight="31" orientation="landscape" useFirstPageNumber="1" r:id="rId4"/>
  <headerFooter>
    <oddFooter>&amp;C&amp;P</oddFooter>
  </headerFooter>
  <rowBreaks count="1" manualBreakCount="1">
    <brk id="386" max="88" man="1"/>
  </row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
  <sheetViews>
    <sheetView workbookViewId="0">
      <selection activeCell="C26" sqref="C26"/>
    </sheetView>
  </sheetViews>
  <sheetFormatPr defaultRowHeight="15" x14ac:dyDescent="0.25"/>
  <cols>
    <col min="1" max="1" width="53.42578125" style="265" customWidth="1"/>
    <col min="2" max="2" width="13.28515625" style="265" customWidth="1"/>
    <col min="3" max="14" width="9.140625" style="265"/>
    <col min="15" max="15" width="18.5703125" style="265" customWidth="1"/>
    <col min="16" max="16384" width="9.140625" style="265"/>
  </cols>
  <sheetData>
    <row r="2" spans="1:16" ht="15.75" x14ac:dyDescent="0.25">
      <c r="A2" s="926" t="s">
        <v>1442</v>
      </c>
      <c r="B2" s="926"/>
      <c r="C2" s="926"/>
      <c r="D2" s="926"/>
      <c r="E2" s="926"/>
      <c r="F2" s="926"/>
      <c r="G2" s="926"/>
      <c r="H2" s="926"/>
      <c r="I2" s="926"/>
      <c r="J2" s="926"/>
      <c r="K2" s="926"/>
      <c r="L2" s="926"/>
      <c r="M2" s="926"/>
      <c r="N2" s="926"/>
      <c r="O2" s="926"/>
      <c r="P2" s="267"/>
    </row>
    <row r="3" spans="1:16" x14ac:dyDescent="0.25">
      <c r="A3" s="266"/>
      <c r="B3" s="266"/>
      <c r="C3" s="266"/>
      <c r="D3" s="266"/>
      <c r="E3" s="266"/>
      <c r="F3" s="266"/>
      <c r="G3" s="266"/>
      <c r="H3" s="266"/>
      <c r="I3" s="266"/>
      <c r="J3" s="266"/>
      <c r="K3" s="266"/>
      <c r="L3" s="266"/>
      <c r="M3" s="266"/>
      <c r="N3" s="266"/>
      <c r="O3" s="266"/>
      <c r="P3" s="266"/>
    </row>
    <row r="4" spans="1:16" x14ac:dyDescent="0.25">
      <c r="A4" s="268" t="s">
        <v>1443</v>
      </c>
      <c r="B4" s="268" t="s">
        <v>1444</v>
      </c>
      <c r="C4" s="268">
        <v>2019</v>
      </c>
      <c r="D4" s="268">
        <v>2020</v>
      </c>
      <c r="E4" s="268">
        <v>2021</v>
      </c>
      <c r="F4" s="268">
        <v>2022</v>
      </c>
      <c r="G4" s="268">
        <v>2023</v>
      </c>
      <c r="H4" s="268">
        <v>2024</v>
      </c>
      <c r="I4" s="268">
        <v>2025</v>
      </c>
      <c r="J4" s="268">
        <v>2026</v>
      </c>
      <c r="K4" s="268">
        <v>2027</v>
      </c>
      <c r="L4" s="268">
        <v>2028</v>
      </c>
      <c r="M4" s="268">
        <v>2029</v>
      </c>
      <c r="N4" s="268">
        <v>2030</v>
      </c>
      <c r="O4" s="268" t="s">
        <v>14</v>
      </c>
    </row>
    <row r="5" spans="1:16" x14ac:dyDescent="0.25">
      <c r="A5" s="269" t="str">
        <f>Мониторинг!B17</f>
        <v>Открытие нового детского сада в районе Кайеркан</v>
      </c>
      <c r="B5" s="270" t="str">
        <f>Мониторинг!E17</f>
        <v>2022-2025</v>
      </c>
      <c r="C5" s="270"/>
      <c r="D5" s="270"/>
      <c r="E5" s="270"/>
      <c r="F5" s="270"/>
      <c r="G5" s="270"/>
      <c r="H5" s="270"/>
      <c r="I5" s="270"/>
      <c r="J5" s="270"/>
      <c r="K5" s="270"/>
      <c r="L5" s="270"/>
      <c r="M5" s="270"/>
      <c r="N5" s="270"/>
      <c r="O5" s="270"/>
    </row>
    <row r="6" spans="1:16" x14ac:dyDescent="0.25">
      <c r="A6" s="269"/>
      <c r="B6" s="270"/>
      <c r="C6" s="270"/>
      <c r="D6" s="270"/>
      <c r="E6" s="270"/>
      <c r="F6" s="270"/>
      <c r="G6" s="270"/>
      <c r="H6" s="270"/>
      <c r="I6" s="270"/>
      <c r="J6" s="270"/>
      <c r="K6" s="270"/>
      <c r="L6" s="270"/>
      <c r="M6" s="270"/>
      <c r="N6" s="270"/>
      <c r="O6" s="270"/>
    </row>
    <row r="7" spans="1:16" x14ac:dyDescent="0.25">
      <c r="A7" s="269"/>
      <c r="B7" s="270"/>
      <c r="C7" s="270"/>
      <c r="D7" s="270"/>
      <c r="E7" s="270"/>
      <c r="F7" s="270"/>
      <c r="G7" s="270"/>
      <c r="H7" s="270"/>
      <c r="I7" s="270"/>
      <c r="J7" s="270"/>
      <c r="K7" s="270"/>
      <c r="L7" s="270"/>
      <c r="M7" s="270"/>
      <c r="N7" s="270"/>
      <c r="O7" s="270"/>
    </row>
    <row r="8" spans="1:16" x14ac:dyDescent="0.25">
      <c r="A8" s="269"/>
      <c r="B8" s="270"/>
      <c r="C8" s="270"/>
      <c r="D8" s="270"/>
      <c r="E8" s="270"/>
      <c r="F8" s="270"/>
      <c r="G8" s="270"/>
      <c r="H8" s="270"/>
      <c r="I8" s="270"/>
      <c r="J8" s="270"/>
      <c r="K8" s="270"/>
      <c r="L8" s="270"/>
      <c r="M8" s="270"/>
      <c r="N8" s="270"/>
      <c r="O8" s="270"/>
    </row>
    <row r="9" spans="1:16" x14ac:dyDescent="0.25">
      <c r="A9" s="269"/>
      <c r="B9" s="270"/>
      <c r="C9" s="270"/>
      <c r="D9" s="270"/>
      <c r="E9" s="270"/>
      <c r="F9" s="270"/>
      <c r="G9" s="270"/>
      <c r="H9" s="270"/>
      <c r="I9" s="270"/>
      <c r="J9" s="270"/>
      <c r="K9" s="270"/>
      <c r="L9" s="270"/>
      <c r="M9" s="270"/>
      <c r="N9" s="270"/>
      <c r="O9" s="270"/>
    </row>
    <row r="10" spans="1:16" x14ac:dyDescent="0.25">
      <c r="A10" s="269"/>
      <c r="B10" s="270"/>
      <c r="C10" s="270"/>
      <c r="D10" s="270"/>
      <c r="E10" s="270"/>
      <c r="F10" s="270"/>
      <c r="G10" s="270"/>
      <c r="H10" s="270"/>
      <c r="I10" s="270"/>
      <c r="J10" s="270"/>
      <c r="K10" s="270"/>
      <c r="L10" s="270"/>
      <c r="M10" s="270"/>
      <c r="N10" s="270"/>
      <c r="O10" s="270"/>
    </row>
    <row r="11" spans="1:16" x14ac:dyDescent="0.25">
      <c r="A11" s="269"/>
      <c r="B11" s="270"/>
      <c r="C11" s="270"/>
      <c r="D11" s="270"/>
      <c r="E11" s="270"/>
      <c r="F11" s="270"/>
      <c r="G11" s="270"/>
      <c r="H11" s="270"/>
      <c r="I11" s="270"/>
      <c r="J11" s="270"/>
      <c r="K11" s="270"/>
      <c r="L11" s="270"/>
      <c r="M11" s="270"/>
      <c r="N11" s="270"/>
      <c r="O11" s="270"/>
    </row>
    <row r="12" spans="1:16" x14ac:dyDescent="0.25">
      <c r="A12" s="269"/>
      <c r="B12" s="270"/>
      <c r="C12" s="270"/>
      <c r="D12" s="270"/>
      <c r="E12" s="270"/>
      <c r="F12" s="270"/>
      <c r="G12" s="270"/>
      <c r="H12" s="270"/>
      <c r="I12" s="270"/>
      <c r="J12" s="270"/>
      <c r="K12" s="270"/>
      <c r="L12" s="270"/>
      <c r="M12" s="270"/>
      <c r="N12" s="270"/>
      <c r="O12" s="270"/>
    </row>
    <row r="13" spans="1:16" x14ac:dyDescent="0.25">
      <c r="A13" s="269"/>
      <c r="B13" s="270"/>
      <c r="C13" s="270"/>
      <c r="D13" s="270"/>
      <c r="E13" s="270"/>
      <c r="F13" s="270"/>
      <c r="G13" s="270"/>
      <c r="H13" s="270"/>
      <c r="I13" s="270"/>
      <c r="J13" s="270"/>
      <c r="K13" s="270"/>
      <c r="L13" s="270"/>
      <c r="M13" s="270"/>
      <c r="N13" s="270"/>
      <c r="O13" s="270"/>
    </row>
    <row r="14" spans="1:16" x14ac:dyDescent="0.25">
      <c r="A14" s="269"/>
      <c r="B14" s="270"/>
      <c r="C14" s="270"/>
      <c r="D14" s="270"/>
      <c r="E14" s="270"/>
      <c r="F14" s="270"/>
      <c r="G14" s="270"/>
      <c r="H14" s="270"/>
      <c r="I14" s="270"/>
      <c r="J14" s="270"/>
      <c r="K14" s="270"/>
      <c r="L14" s="270"/>
      <c r="M14" s="270"/>
      <c r="N14" s="270"/>
      <c r="O14" s="270"/>
    </row>
    <row r="15" spans="1:16" x14ac:dyDescent="0.25">
      <c r="A15" s="269"/>
      <c r="B15" s="270"/>
      <c r="C15" s="270"/>
      <c r="D15" s="270"/>
      <c r="E15" s="270"/>
      <c r="F15" s="270"/>
      <c r="G15" s="270"/>
      <c r="H15" s="270"/>
      <c r="I15" s="270"/>
      <c r="J15" s="270"/>
      <c r="K15" s="270"/>
      <c r="L15" s="270"/>
      <c r="M15" s="270"/>
      <c r="N15" s="270"/>
      <c r="O15" s="270"/>
    </row>
    <row r="16" spans="1:16" x14ac:dyDescent="0.25">
      <c r="A16" s="269"/>
      <c r="B16" s="270"/>
      <c r="C16" s="270"/>
      <c r="D16" s="270"/>
      <c r="E16" s="270"/>
      <c r="F16" s="270"/>
      <c r="G16" s="270"/>
      <c r="H16" s="270"/>
      <c r="I16" s="270"/>
      <c r="J16" s="270"/>
      <c r="K16" s="270"/>
      <c r="L16" s="270"/>
      <c r="M16" s="270"/>
      <c r="N16" s="270"/>
      <c r="O16" s="270"/>
    </row>
    <row r="17" spans="1:15" x14ac:dyDescent="0.25">
      <c r="A17" s="269"/>
      <c r="B17" s="270"/>
      <c r="C17" s="270"/>
      <c r="D17" s="270"/>
      <c r="E17" s="270"/>
      <c r="F17" s="270"/>
      <c r="G17" s="270"/>
      <c r="H17" s="270"/>
      <c r="I17" s="270"/>
      <c r="J17" s="270"/>
      <c r="K17" s="270"/>
      <c r="L17" s="270"/>
      <c r="M17" s="270"/>
      <c r="N17" s="270"/>
      <c r="O17" s="270"/>
    </row>
    <row r="18" spans="1:15" x14ac:dyDescent="0.25">
      <c r="A18" s="269"/>
      <c r="B18" s="270"/>
      <c r="C18" s="270"/>
      <c r="D18" s="270"/>
      <c r="E18" s="270"/>
      <c r="F18" s="270"/>
      <c r="G18" s="270"/>
      <c r="H18" s="270"/>
      <c r="I18" s="270"/>
      <c r="J18" s="270"/>
      <c r="K18" s="270"/>
      <c r="L18" s="270"/>
      <c r="M18" s="270"/>
      <c r="N18" s="270"/>
      <c r="O18" s="270"/>
    </row>
    <row r="19" spans="1:15" x14ac:dyDescent="0.25">
      <c r="A19" s="269"/>
      <c r="B19" s="270"/>
      <c r="C19" s="270"/>
      <c r="D19" s="270"/>
      <c r="E19" s="270"/>
      <c r="F19" s="270"/>
      <c r="G19" s="270"/>
      <c r="H19" s="270"/>
      <c r="I19" s="270"/>
      <c r="J19" s="270"/>
      <c r="K19" s="270"/>
      <c r="L19" s="270"/>
      <c r="M19" s="270"/>
      <c r="N19" s="270"/>
      <c r="O19" s="270"/>
    </row>
    <row r="20" spans="1:15" x14ac:dyDescent="0.25">
      <c r="A20" s="269"/>
      <c r="B20" s="270"/>
      <c r="C20" s="270"/>
      <c r="D20" s="270"/>
      <c r="E20" s="270"/>
      <c r="F20" s="270"/>
      <c r="G20" s="270"/>
      <c r="H20" s="270"/>
      <c r="I20" s="270"/>
      <c r="J20" s="270"/>
      <c r="K20" s="270"/>
      <c r="L20" s="270"/>
      <c r="M20" s="270"/>
      <c r="N20" s="270"/>
      <c r="O20" s="270"/>
    </row>
    <row r="21" spans="1:15" x14ac:dyDescent="0.25">
      <c r="A21" s="269"/>
      <c r="B21" s="270"/>
      <c r="C21" s="270"/>
      <c r="D21" s="270"/>
      <c r="E21" s="270"/>
      <c r="F21" s="270"/>
      <c r="G21" s="270"/>
      <c r="H21" s="270"/>
      <c r="I21" s="270"/>
      <c r="J21" s="270"/>
      <c r="K21" s="270"/>
      <c r="L21" s="270"/>
      <c r="M21" s="270"/>
      <c r="N21" s="270"/>
      <c r="O21" s="270"/>
    </row>
    <row r="22" spans="1:15" x14ac:dyDescent="0.25">
      <c r="A22" s="269"/>
      <c r="B22" s="270"/>
      <c r="C22" s="270"/>
      <c r="D22" s="270"/>
      <c r="E22" s="270"/>
      <c r="F22" s="270"/>
      <c r="G22" s="270"/>
      <c r="H22" s="270"/>
      <c r="I22" s="270"/>
      <c r="J22" s="270"/>
      <c r="K22" s="270"/>
      <c r="L22" s="270"/>
      <c r="M22" s="270"/>
      <c r="N22" s="270"/>
      <c r="O22" s="270"/>
    </row>
    <row r="23" spans="1:15" x14ac:dyDescent="0.25">
      <c r="A23" s="269"/>
      <c r="B23" s="270"/>
      <c r="C23" s="270"/>
      <c r="D23" s="270"/>
      <c r="E23" s="270"/>
      <c r="F23" s="270"/>
      <c r="G23" s="270"/>
      <c r="H23" s="270"/>
      <c r="I23" s="270"/>
      <c r="J23" s="270"/>
      <c r="K23" s="270"/>
      <c r="L23" s="270"/>
      <c r="M23" s="270"/>
      <c r="N23" s="270"/>
      <c r="O23" s="270"/>
    </row>
  </sheetData>
  <mergeCells count="1">
    <mergeCell ref="A2:O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421"/>
  <sheetViews>
    <sheetView view="pageBreakPreview" zoomScale="41" zoomScaleNormal="70" zoomScaleSheetLayoutView="41" zoomScalePageLayoutView="28" workbookViewId="0">
      <pane xSplit="5" ySplit="7" topLeftCell="K8" activePane="bottomRight" state="frozen"/>
      <selection pane="topRight" activeCell="F1" sqref="F1"/>
      <selection pane="bottomLeft" activeCell="A8" sqref="A8"/>
      <selection pane="bottomRight" activeCell="O16" sqref="O16"/>
    </sheetView>
  </sheetViews>
  <sheetFormatPr defaultColWidth="8.85546875" defaultRowHeight="26.25" x14ac:dyDescent="0.3"/>
  <cols>
    <col min="1" max="1" width="16.5703125" style="12" customWidth="1"/>
    <col min="2" max="2" width="48.85546875" style="13" customWidth="1"/>
    <col min="3" max="3" width="101.85546875" style="13" customWidth="1"/>
    <col min="4" max="4" width="33.28515625" style="14" customWidth="1"/>
    <col min="5" max="5" width="22.42578125" style="12" customWidth="1"/>
    <col min="6" max="6" width="54" style="15" customWidth="1"/>
    <col min="7" max="7" width="21.42578125" style="12" customWidth="1"/>
    <col min="8" max="8" width="16" style="12" customWidth="1"/>
    <col min="9" max="9" width="17.7109375" style="12" customWidth="1"/>
    <col min="10" max="10" width="16.42578125" style="12" customWidth="1"/>
    <col min="11" max="11" width="17.140625" style="12" customWidth="1"/>
    <col min="12" max="12" width="16.7109375" style="12" customWidth="1"/>
    <col min="13" max="13" width="16.42578125" style="12" customWidth="1"/>
    <col min="14" max="14" width="17.140625" style="12" customWidth="1"/>
    <col min="15" max="15" width="16.42578125" style="12" customWidth="1"/>
    <col min="16" max="16" width="16.7109375" style="12" customWidth="1"/>
    <col min="17" max="17" width="17.42578125" style="12" customWidth="1"/>
    <col min="18" max="19" width="16.7109375" style="12" customWidth="1"/>
    <col min="20" max="20" width="17.42578125" style="12" customWidth="1"/>
    <col min="21" max="21" width="33.85546875" style="20" bestFit="1" customWidth="1"/>
    <col min="22" max="22" width="32.7109375" style="20" customWidth="1"/>
    <col min="23" max="23" width="30.42578125" style="20" customWidth="1"/>
    <col min="24" max="24" width="29.5703125" style="20" bestFit="1" customWidth="1"/>
    <col min="25" max="25" width="30.7109375" style="20" customWidth="1"/>
    <col min="26" max="16384" width="8.85546875" style="2"/>
  </cols>
  <sheetData>
    <row r="1" spans="1:25" ht="52.5" customHeight="1" x14ac:dyDescent="0.3">
      <c r="A1" s="25"/>
      <c r="B1" s="26"/>
      <c r="C1" s="214" t="s">
        <v>0</v>
      </c>
      <c r="D1" s="27"/>
      <c r="E1" s="25"/>
      <c r="F1" s="28"/>
      <c r="G1" s="25"/>
      <c r="H1" s="25"/>
      <c r="I1" s="25"/>
      <c r="J1" s="25"/>
      <c r="K1" s="25"/>
      <c r="L1" s="25"/>
      <c r="M1" s="25"/>
      <c r="N1" s="25"/>
      <c r="O1" s="25"/>
      <c r="P1" s="25"/>
      <c r="Q1" s="25"/>
      <c r="R1" s="25"/>
      <c r="S1" s="25"/>
      <c r="T1" s="25"/>
      <c r="U1" s="29"/>
      <c r="V1" s="29"/>
      <c r="W1" s="29"/>
      <c r="X1" s="29"/>
      <c r="Y1" s="29"/>
    </row>
    <row r="2" spans="1:25" s="7" customFormat="1" ht="19.5" customHeight="1" x14ac:dyDescent="0.25">
      <c r="A2" s="812" t="s">
        <v>1</v>
      </c>
      <c r="B2" s="812" t="s">
        <v>2</v>
      </c>
      <c r="C2" s="812" t="s">
        <v>3</v>
      </c>
      <c r="D2" s="812" t="s">
        <v>4</v>
      </c>
      <c r="E2" s="979" t="s">
        <v>5</v>
      </c>
      <c r="F2" s="979" t="s">
        <v>6</v>
      </c>
      <c r="G2" s="979"/>
      <c r="H2" s="979"/>
      <c r="I2" s="979"/>
      <c r="J2" s="979"/>
      <c r="K2" s="979"/>
      <c r="L2" s="979"/>
      <c r="M2" s="979"/>
      <c r="N2" s="979"/>
      <c r="O2" s="979"/>
      <c r="P2" s="979"/>
      <c r="Q2" s="979"/>
      <c r="R2" s="979"/>
      <c r="S2" s="979"/>
      <c r="T2" s="979"/>
      <c r="U2" s="812" t="s">
        <v>1243</v>
      </c>
      <c r="V2" s="812"/>
      <c r="W2" s="812"/>
      <c r="X2" s="812"/>
      <c r="Y2" s="812"/>
    </row>
    <row r="3" spans="1:25" s="7" customFormat="1" ht="23.25" customHeight="1" x14ac:dyDescent="0.25">
      <c r="A3" s="812"/>
      <c r="B3" s="812"/>
      <c r="C3" s="812"/>
      <c r="D3" s="812"/>
      <c r="E3" s="979"/>
      <c r="F3" s="979"/>
      <c r="G3" s="979"/>
      <c r="H3" s="979"/>
      <c r="I3" s="979"/>
      <c r="J3" s="979"/>
      <c r="K3" s="979"/>
      <c r="L3" s="979"/>
      <c r="M3" s="979"/>
      <c r="N3" s="979"/>
      <c r="O3" s="979"/>
      <c r="P3" s="979"/>
      <c r="Q3" s="979"/>
      <c r="R3" s="979"/>
      <c r="S3" s="979"/>
      <c r="T3" s="979"/>
      <c r="U3" s="812"/>
      <c r="V3" s="812"/>
      <c r="W3" s="812"/>
      <c r="X3" s="812"/>
      <c r="Y3" s="812"/>
    </row>
    <row r="4" spans="1:25" s="7" customFormat="1" ht="23.25" customHeight="1" x14ac:dyDescent="0.25">
      <c r="A4" s="812"/>
      <c r="B4" s="812"/>
      <c r="C4" s="812"/>
      <c r="D4" s="812"/>
      <c r="E4" s="979"/>
      <c r="F4" s="979"/>
      <c r="G4" s="979"/>
      <c r="H4" s="979"/>
      <c r="I4" s="979"/>
      <c r="J4" s="979"/>
      <c r="K4" s="979"/>
      <c r="L4" s="979"/>
      <c r="M4" s="979"/>
      <c r="N4" s="979"/>
      <c r="O4" s="979"/>
      <c r="P4" s="979"/>
      <c r="Q4" s="979"/>
      <c r="R4" s="979"/>
      <c r="S4" s="979"/>
      <c r="T4" s="979"/>
      <c r="U4" s="812"/>
      <c r="V4" s="812"/>
      <c r="W4" s="812"/>
      <c r="X4" s="812"/>
      <c r="Y4" s="812"/>
    </row>
    <row r="5" spans="1:25" s="7" customFormat="1" ht="19.5" customHeight="1" x14ac:dyDescent="0.25">
      <c r="A5" s="812"/>
      <c r="B5" s="812"/>
      <c r="C5" s="812"/>
      <c r="D5" s="812"/>
      <c r="E5" s="979"/>
      <c r="F5" s="979" t="s">
        <v>8</v>
      </c>
      <c r="G5" s="979" t="s">
        <v>9</v>
      </c>
      <c r="H5" s="979">
        <v>2015</v>
      </c>
      <c r="I5" s="979" t="s">
        <v>10</v>
      </c>
      <c r="J5" s="979"/>
      <c r="K5" s="979"/>
      <c r="L5" s="979" t="s">
        <v>11</v>
      </c>
      <c r="M5" s="979"/>
      <c r="N5" s="979"/>
      <c r="O5" s="979" t="s">
        <v>12</v>
      </c>
      <c r="P5" s="979"/>
      <c r="Q5" s="979"/>
      <c r="R5" s="979" t="s">
        <v>13</v>
      </c>
      <c r="S5" s="979"/>
      <c r="T5" s="979"/>
      <c r="U5" s="812"/>
      <c r="V5" s="812"/>
      <c r="W5" s="812"/>
      <c r="X5" s="812"/>
      <c r="Y5" s="812"/>
    </row>
    <row r="6" spans="1:25" s="7" customFormat="1" ht="23.25" customHeight="1" x14ac:dyDescent="0.25">
      <c r="A6" s="812"/>
      <c r="B6" s="812"/>
      <c r="C6" s="812"/>
      <c r="D6" s="812"/>
      <c r="E6" s="979"/>
      <c r="F6" s="979"/>
      <c r="G6" s="979"/>
      <c r="H6" s="979"/>
      <c r="I6" s="979"/>
      <c r="J6" s="979"/>
      <c r="K6" s="979"/>
      <c r="L6" s="979"/>
      <c r="M6" s="979"/>
      <c r="N6" s="979"/>
      <c r="O6" s="979"/>
      <c r="P6" s="979"/>
      <c r="Q6" s="979"/>
      <c r="R6" s="979"/>
      <c r="S6" s="979"/>
      <c r="T6" s="979"/>
      <c r="U6" s="812"/>
      <c r="V6" s="812"/>
      <c r="W6" s="812"/>
      <c r="X6" s="812"/>
      <c r="Y6" s="812"/>
    </row>
    <row r="7" spans="1:25" s="7" customFormat="1" ht="39" customHeight="1" x14ac:dyDescent="0.25">
      <c r="A7" s="812"/>
      <c r="B7" s="812"/>
      <c r="C7" s="812"/>
      <c r="D7" s="812"/>
      <c r="E7" s="979"/>
      <c r="F7" s="979"/>
      <c r="G7" s="979"/>
      <c r="H7" s="979"/>
      <c r="I7" s="185">
        <v>2019</v>
      </c>
      <c r="J7" s="185">
        <v>2020</v>
      </c>
      <c r="K7" s="185">
        <v>2021</v>
      </c>
      <c r="L7" s="185">
        <v>2022</v>
      </c>
      <c r="M7" s="185">
        <v>2023</v>
      </c>
      <c r="N7" s="185">
        <v>2024</v>
      </c>
      <c r="O7" s="185">
        <v>2025</v>
      </c>
      <c r="P7" s="185">
        <v>2026</v>
      </c>
      <c r="Q7" s="185">
        <v>2027</v>
      </c>
      <c r="R7" s="185">
        <v>2028</v>
      </c>
      <c r="S7" s="185">
        <v>2029</v>
      </c>
      <c r="T7" s="185">
        <v>2030</v>
      </c>
      <c r="U7" s="186" t="s">
        <v>14</v>
      </c>
      <c r="V7" s="193" t="s">
        <v>20</v>
      </c>
      <c r="W7" s="193" t="s">
        <v>16</v>
      </c>
      <c r="X7" s="193" t="s">
        <v>17</v>
      </c>
      <c r="Y7" s="193" t="s">
        <v>18</v>
      </c>
    </row>
    <row r="8" spans="1:25" s="3" customFormat="1" ht="46.5" x14ac:dyDescent="0.3">
      <c r="A8" s="959">
        <v>1</v>
      </c>
      <c r="B8" s="962" t="s">
        <v>21</v>
      </c>
      <c r="C8" s="963"/>
      <c r="D8" s="963"/>
      <c r="E8" s="964"/>
      <c r="F8" s="30" t="s">
        <v>873</v>
      </c>
      <c r="G8" s="31" t="s">
        <v>878</v>
      </c>
      <c r="H8" s="32">
        <v>177.53899999999999</v>
      </c>
      <c r="I8" s="32">
        <v>180.756</v>
      </c>
      <c r="J8" s="32">
        <v>181.101</v>
      </c>
      <c r="K8" s="32">
        <v>181.447</v>
      </c>
      <c r="L8" s="32">
        <v>181.79400000000001</v>
      </c>
      <c r="M8" s="32">
        <v>182.14099999999999</v>
      </c>
      <c r="N8" s="32">
        <v>182.488</v>
      </c>
      <c r="O8" s="32">
        <v>182.83699999999999</v>
      </c>
      <c r="P8" s="32">
        <v>183.18600000000001</v>
      </c>
      <c r="Q8" s="32">
        <v>183.536</v>
      </c>
      <c r="R8" s="32">
        <v>183.887</v>
      </c>
      <c r="S8" s="32">
        <v>184.238</v>
      </c>
      <c r="T8" s="32">
        <v>184.59700000000001</v>
      </c>
      <c r="U8" s="33"/>
      <c r="V8" s="33"/>
      <c r="W8" s="33"/>
      <c r="X8" s="33"/>
      <c r="Y8" s="33"/>
    </row>
    <row r="9" spans="1:25" s="3" customFormat="1" ht="46.5" x14ac:dyDescent="0.3">
      <c r="A9" s="960"/>
      <c r="B9" s="965"/>
      <c r="C9" s="966"/>
      <c r="D9" s="966"/>
      <c r="E9" s="967"/>
      <c r="F9" s="30" t="s">
        <v>874</v>
      </c>
      <c r="G9" s="31" t="s">
        <v>878</v>
      </c>
      <c r="H9" s="32">
        <v>124.35599999999999</v>
      </c>
      <c r="I9" s="32">
        <v>121.97499999999999</v>
      </c>
      <c r="J9" s="32">
        <v>121.342</v>
      </c>
      <c r="K9" s="32">
        <v>120.71299999999999</v>
      </c>
      <c r="L9" s="32">
        <v>120.087</v>
      </c>
      <c r="M9" s="32">
        <v>120.375</v>
      </c>
      <c r="N9" s="32">
        <v>120.66200000000001</v>
      </c>
      <c r="O9" s="32">
        <v>120.95099999999999</v>
      </c>
      <c r="P9" s="32">
        <v>121.238</v>
      </c>
      <c r="Q9" s="32">
        <v>121.527</v>
      </c>
      <c r="R9" s="32">
        <v>121.815</v>
      </c>
      <c r="S9" s="32">
        <v>122.10299999999999</v>
      </c>
      <c r="T9" s="32">
        <v>122.39</v>
      </c>
      <c r="U9" s="33"/>
      <c r="V9" s="33"/>
      <c r="W9" s="33"/>
      <c r="X9" s="33"/>
      <c r="Y9" s="33"/>
    </row>
    <row r="10" spans="1:25" s="3" customFormat="1" ht="46.5" x14ac:dyDescent="0.3">
      <c r="A10" s="960"/>
      <c r="B10" s="965"/>
      <c r="C10" s="966"/>
      <c r="D10" s="966"/>
      <c r="E10" s="967"/>
      <c r="F10" s="30" t="s">
        <v>875</v>
      </c>
      <c r="G10" s="31" t="s">
        <v>879</v>
      </c>
      <c r="H10" s="34">
        <v>9.4</v>
      </c>
      <c r="I10" s="34">
        <f>1471/180756*1000</f>
        <v>8.1380424439576</v>
      </c>
      <c r="J10" s="34">
        <v>8</v>
      </c>
      <c r="K10" s="34">
        <v>7.9</v>
      </c>
      <c r="L10" s="34">
        <v>7.8</v>
      </c>
      <c r="M10" s="34">
        <v>7.8</v>
      </c>
      <c r="N10" s="34">
        <v>7.9</v>
      </c>
      <c r="O10" s="34">
        <v>7.9</v>
      </c>
      <c r="P10" s="34">
        <v>7.9</v>
      </c>
      <c r="Q10" s="34">
        <v>7.9</v>
      </c>
      <c r="R10" s="34">
        <v>7.9</v>
      </c>
      <c r="S10" s="34">
        <v>7.9</v>
      </c>
      <c r="T10" s="34">
        <v>7.9</v>
      </c>
      <c r="U10" s="33"/>
      <c r="V10" s="33"/>
      <c r="W10" s="33"/>
      <c r="X10" s="33"/>
      <c r="Y10" s="33"/>
    </row>
    <row r="11" spans="1:25" s="3" customFormat="1" ht="69.75" x14ac:dyDescent="0.3">
      <c r="A11" s="960"/>
      <c r="B11" s="965"/>
      <c r="C11" s="966"/>
      <c r="D11" s="966"/>
      <c r="E11" s="967"/>
      <c r="F11" s="30" t="s">
        <v>876</v>
      </c>
      <c r="G11" s="31" t="s">
        <v>62</v>
      </c>
      <c r="H11" s="34">
        <v>100</v>
      </c>
      <c r="I11" s="34">
        <v>115.4</v>
      </c>
      <c r="J11" s="34">
        <v>118.8</v>
      </c>
      <c r="K11" s="34">
        <v>123.2</v>
      </c>
      <c r="L11" s="34">
        <v>127.9</v>
      </c>
      <c r="M11" s="34">
        <v>132.80000000000001</v>
      </c>
      <c r="N11" s="34">
        <v>137.80000000000001</v>
      </c>
      <c r="O11" s="34">
        <v>143.1</v>
      </c>
      <c r="P11" s="34">
        <v>148.5</v>
      </c>
      <c r="Q11" s="34">
        <v>154.19999999999999</v>
      </c>
      <c r="R11" s="34">
        <v>160</v>
      </c>
      <c r="S11" s="34">
        <v>166.1</v>
      </c>
      <c r="T11" s="34">
        <v>172.4</v>
      </c>
      <c r="U11" s="33"/>
      <c r="V11" s="33"/>
      <c r="W11" s="33"/>
      <c r="X11" s="33"/>
      <c r="Y11" s="33"/>
    </row>
    <row r="12" spans="1:25" s="3" customFormat="1" ht="116.25" x14ac:dyDescent="0.3">
      <c r="A12" s="961"/>
      <c r="B12" s="968"/>
      <c r="C12" s="969"/>
      <c r="D12" s="969"/>
      <c r="E12" s="970"/>
      <c r="F12" s="30" t="s">
        <v>877</v>
      </c>
      <c r="G12" s="31" t="s">
        <v>62</v>
      </c>
      <c r="H12" s="34">
        <v>0.8</v>
      </c>
      <c r="I12" s="34">
        <v>0.8</v>
      </c>
      <c r="J12" s="34">
        <v>0.8</v>
      </c>
      <c r="K12" s="34">
        <v>0.8</v>
      </c>
      <c r="L12" s="34">
        <v>0.8</v>
      </c>
      <c r="M12" s="34">
        <v>0.8</v>
      </c>
      <c r="N12" s="34">
        <v>0.8</v>
      </c>
      <c r="O12" s="34">
        <v>0.8</v>
      </c>
      <c r="P12" s="34">
        <v>0.8</v>
      </c>
      <c r="Q12" s="34">
        <v>0.8</v>
      </c>
      <c r="R12" s="34">
        <v>0.8</v>
      </c>
      <c r="S12" s="34">
        <v>0.8</v>
      </c>
      <c r="T12" s="34">
        <v>0.8</v>
      </c>
      <c r="U12" s="33"/>
      <c r="V12" s="33"/>
      <c r="W12" s="33"/>
      <c r="X12" s="33"/>
      <c r="Y12" s="33"/>
    </row>
    <row r="13" spans="1:25" s="3" customFormat="1" ht="34.5" customHeight="1" x14ac:dyDescent="0.3">
      <c r="A13" s="35" t="s">
        <v>22</v>
      </c>
      <c r="B13" s="955" t="s">
        <v>23</v>
      </c>
      <c r="C13" s="955"/>
      <c r="D13" s="955"/>
      <c r="E13" s="955"/>
      <c r="F13" s="955"/>
      <c r="G13" s="955"/>
      <c r="H13" s="955"/>
      <c r="I13" s="955"/>
      <c r="J13" s="955"/>
      <c r="K13" s="955"/>
      <c r="L13" s="955"/>
      <c r="M13" s="955"/>
      <c r="N13" s="955"/>
      <c r="O13" s="955"/>
      <c r="P13" s="955"/>
      <c r="Q13" s="955"/>
      <c r="R13" s="955"/>
      <c r="S13" s="955"/>
      <c r="T13" s="955"/>
      <c r="U13" s="36"/>
      <c r="V13" s="36"/>
      <c r="W13" s="36"/>
      <c r="X13" s="36"/>
      <c r="Y13" s="36"/>
    </row>
    <row r="14" spans="1:25" s="3" customFormat="1" ht="196.9" customHeight="1" x14ac:dyDescent="0.3">
      <c r="A14" s="971" t="s">
        <v>24</v>
      </c>
      <c r="B14" s="973" t="s">
        <v>25</v>
      </c>
      <c r="C14" s="974"/>
      <c r="D14" s="974"/>
      <c r="E14" s="975"/>
      <c r="F14" s="128" t="s">
        <v>986</v>
      </c>
      <c r="G14" s="129" t="s">
        <v>62</v>
      </c>
      <c r="H14" s="132">
        <v>76.5</v>
      </c>
      <c r="I14" s="132">
        <v>76.900000000000006</v>
      </c>
      <c r="J14" s="132">
        <v>77.5</v>
      </c>
      <c r="K14" s="132">
        <v>76.8</v>
      </c>
      <c r="L14" s="132">
        <v>76.2</v>
      </c>
      <c r="M14" s="132">
        <v>75.5</v>
      </c>
      <c r="N14" s="132">
        <v>74.900000000000006</v>
      </c>
      <c r="O14" s="132">
        <v>74.3</v>
      </c>
      <c r="P14" s="132">
        <v>75.900000000000006</v>
      </c>
      <c r="Q14" s="132">
        <v>76.8</v>
      </c>
      <c r="R14" s="132">
        <v>76.900000000000006</v>
      </c>
      <c r="S14" s="132">
        <v>75.599999999999994</v>
      </c>
      <c r="T14" s="132">
        <v>77</v>
      </c>
      <c r="U14" s="38"/>
      <c r="V14" s="38"/>
      <c r="W14" s="38"/>
      <c r="X14" s="38"/>
      <c r="Y14" s="38"/>
    </row>
    <row r="15" spans="1:25" s="3" customFormat="1" ht="192" x14ac:dyDescent="0.3">
      <c r="A15" s="972"/>
      <c r="B15" s="976"/>
      <c r="C15" s="977"/>
      <c r="D15" s="977"/>
      <c r="E15" s="978"/>
      <c r="F15" s="128" t="s">
        <v>991</v>
      </c>
      <c r="G15" s="129" t="s">
        <v>62</v>
      </c>
      <c r="H15" s="130">
        <v>100</v>
      </c>
      <c r="I15" s="130">
        <v>100</v>
      </c>
      <c r="J15" s="130">
        <v>100</v>
      </c>
      <c r="K15" s="130">
        <v>100</v>
      </c>
      <c r="L15" s="130">
        <v>100</v>
      </c>
      <c r="M15" s="130">
        <v>100</v>
      </c>
      <c r="N15" s="130">
        <v>100</v>
      </c>
      <c r="O15" s="130">
        <v>100</v>
      </c>
      <c r="P15" s="130">
        <v>100</v>
      </c>
      <c r="Q15" s="130">
        <v>100</v>
      </c>
      <c r="R15" s="130">
        <v>100</v>
      </c>
      <c r="S15" s="130">
        <v>100</v>
      </c>
      <c r="T15" s="130">
        <v>100</v>
      </c>
      <c r="U15" s="131"/>
      <c r="V15" s="131"/>
      <c r="W15" s="131"/>
      <c r="X15" s="131"/>
      <c r="Y15" s="131"/>
    </row>
    <row r="16" spans="1:25" s="6" customFormat="1" ht="144" x14ac:dyDescent="0.3">
      <c r="A16" s="171" t="s">
        <v>81</v>
      </c>
      <c r="B16" s="169" t="s">
        <v>27</v>
      </c>
      <c r="C16" s="167" t="s">
        <v>1023</v>
      </c>
      <c r="D16" s="172" t="s">
        <v>28</v>
      </c>
      <c r="E16" s="160" t="s">
        <v>29</v>
      </c>
      <c r="F16" s="39" t="s">
        <v>30</v>
      </c>
      <c r="G16" s="40" t="s">
        <v>31</v>
      </c>
      <c r="H16" s="187"/>
      <c r="I16" s="187"/>
      <c r="J16" s="187">
        <v>236</v>
      </c>
      <c r="K16" s="187"/>
      <c r="L16" s="187"/>
      <c r="M16" s="187"/>
      <c r="N16" s="187"/>
      <c r="O16" s="187"/>
      <c r="P16" s="187"/>
      <c r="Q16" s="187"/>
      <c r="R16" s="187"/>
      <c r="S16" s="187"/>
      <c r="T16" s="187"/>
      <c r="U16" s="157">
        <v>183078.7</v>
      </c>
      <c r="V16" s="144">
        <v>183078.7</v>
      </c>
      <c r="W16" s="144">
        <v>0</v>
      </c>
      <c r="X16" s="144">
        <v>0</v>
      </c>
      <c r="Y16" s="144">
        <v>0</v>
      </c>
    </row>
    <row r="17" spans="1:25" s="6" customFormat="1" ht="120" x14ac:dyDescent="0.3">
      <c r="A17" s="171" t="s">
        <v>50</v>
      </c>
      <c r="B17" s="169" t="s">
        <v>33</v>
      </c>
      <c r="C17" s="167" t="s">
        <v>1196</v>
      </c>
      <c r="D17" s="172" t="s">
        <v>28</v>
      </c>
      <c r="E17" s="160" t="s">
        <v>34</v>
      </c>
      <c r="F17" s="39" t="s">
        <v>30</v>
      </c>
      <c r="G17" s="40" t="s">
        <v>31</v>
      </c>
      <c r="H17" s="187"/>
      <c r="I17" s="187">
        <v>217</v>
      </c>
      <c r="J17" s="187"/>
      <c r="K17" s="187"/>
      <c r="L17" s="187"/>
      <c r="M17" s="187"/>
      <c r="N17" s="187"/>
      <c r="O17" s="187"/>
      <c r="P17" s="187"/>
      <c r="Q17" s="187"/>
      <c r="R17" s="187"/>
      <c r="S17" s="187"/>
      <c r="T17" s="187"/>
      <c r="U17" s="157">
        <v>60885.2</v>
      </c>
      <c r="V17" s="144">
        <v>60885.2</v>
      </c>
      <c r="W17" s="144">
        <v>0</v>
      </c>
      <c r="X17" s="144">
        <v>0</v>
      </c>
      <c r="Y17" s="144">
        <v>0</v>
      </c>
    </row>
    <row r="18" spans="1:25" s="6" customFormat="1" ht="120" x14ac:dyDescent="0.3">
      <c r="A18" s="171" t="s">
        <v>103</v>
      </c>
      <c r="B18" s="169" t="s">
        <v>38</v>
      </c>
      <c r="C18" s="167" t="s">
        <v>851</v>
      </c>
      <c r="D18" s="172" t="s">
        <v>28</v>
      </c>
      <c r="E18" s="160" t="s">
        <v>39</v>
      </c>
      <c r="F18" s="39" t="s">
        <v>30</v>
      </c>
      <c r="G18" s="40" t="s">
        <v>31</v>
      </c>
      <c r="H18" s="187"/>
      <c r="I18" s="187"/>
      <c r="J18" s="187"/>
      <c r="K18" s="187"/>
      <c r="L18" s="187"/>
      <c r="M18" s="187"/>
      <c r="N18" s="187"/>
      <c r="O18" s="187">
        <v>270</v>
      </c>
      <c r="P18" s="187"/>
      <c r="Q18" s="187"/>
      <c r="R18" s="187"/>
      <c r="S18" s="187"/>
      <c r="T18" s="187"/>
      <c r="U18" s="157">
        <v>260779.19999999998</v>
      </c>
      <c r="V18" s="144">
        <v>0</v>
      </c>
      <c r="W18" s="144">
        <v>0</v>
      </c>
      <c r="X18" s="144">
        <v>0</v>
      </c>
      <c r="Y18" s="144">
        <v>0</v>
      </c>
    </row>
    <row r="19" spans="1:25" s="6" customFormat="1" ht="147" x14ac:dyDescent="0.3">
      <c r="A19" s="171" t="s">
        <v>107</v>
      </c>
      <c r="B19" s="169" t="s">
        <v>33</v>
      </c>
      <c r="C19" s="167" t="s">
        <v>1198</v>
      </c>
      <c r="D19" s="172" t="s">
        <v>28</v>
      </c>
      <c r="E19" s="160" t="s">
        <v>41</v>
      </c>
      <c r="F19" s="39" t="s">
        <v>30</v>
      </c>
      <c r="G19" s="40" t="s">
        <v>31</v>
      </c>
      <c r="H19" s="187"/>
      <c r="I19" s="187"/>
      <c r="J19" s="187"/>
      <c r="K19" s="187"/>
      <c r="L19" s="187"/>
      <c r="M19" s="187"/>
      <c r="N19" s="187"/>
      <c r="O19" s="187"/>
      <c r="P19" s="187">
        <v>270</v>
      </c>
      <c r="Q19" s="187"/>
      <c r="R19" s="187"/>
      <c r="S19" s="187"/>
      <c r="T19" s="187"/>
      <c r="U19" s="157">
        <v>669135.6</v>
      </c>
      <c r="V19" s="144">
        <v>0</v>
      </c>
      <c r="W19" s="144">
        <v>0</v>
      </c>
      <c r="X19" s="144">
        <v>0</v>
      </c>
      <c r="Y19" s="144">
        <v>0</v>
      </c>
    </row>
    <row r="20" spans="1:25" s="6" customFormat="1" ht="120" x14ac:dyDescent="0.3">
      <c r="A20" s="171" t="s">
        <v>82</v>
      </c>
      <c r="B20" s="169" t="s">
        <v>27</v>
      </c>
      <c r="C20" s="169" t="s">
        <v>852</v>
      </c>
      <c r="D20" s="172" t="s">
        <v>28</v>
      </c>
      <c r="E20" s="160" t="s">
        <v>43</v>
      </c>
      <c r="F20" s="39" t="s">
        <v>30</v>
      </c>
      <c r="G20" s="40" t="s">
        <v>31</v>
      </c>
      <c r="H20" s="187"/>
      <c r="I20" s="187"/>
      <c r="J20" s="187"/>
      <c r="K20" s="187"/>
      <c r="L20" s="187"/>
      <c r="M20" s="187"/>
      <c r="N20" s="187"/>
      <c r="O20" s="187"/>
      <c r="P20" s="187"/>
      <c r="Q20" s="187"/>
      <c r="R20" s="187"/>
      <c r="S20" s="187"/>
      <c r="T20" s="187">
        <v>270</v>
      </c>
      <c r="U20" s="157">
        <v>702592.4</v>
      </c>
      <c r="V20" s="144">
        <v>0</v>
      </c>
      <c r="W20" s="144">
        <v>0</v>
      </c>
      <c r="X20" s="144">
        <v>0</v>
      </c>
      <c r="Y20" s="144">
        <v>0</v>
      </c>
    </row>
    <row r="21" spans="1:25" s="6" customFormat="1" ht="144" x14ac:dyDescent="0.3">
      <c r="A21" s="171" t="s">
        <v>89</v>
      </c>
      <c r="B21" s="169" t="s">
        <v>989</v>
      </c>
      <c r="C21" s="167" t="s">
        <v>1197</v>
      </c>
      <c r="D21" s="172" t="s">
        <v>28</v>
      </c>
      <c r="E21" s="160" t="s">
        <v>36</v>
      </c>
      <c r="F21" s="39" t="s">
        <v>990</v>
      </c>
      <c r="G21" s="40" t="s">
        <v>31</v>
      </c>
      <c r="H21" s="187"/>
      <c r="I21" s="187"/>
      <c r="J21" s="187"/>
      <c r="K21" s="187"/>
      <c r="L21" s="187">
        <v>125</v>
      </c>
      <c r="M21" s="187"/>
      <c r="N21" s="187"/>
      <c r="O21" s="187"/>
      <c r="P21" s="187"/>
      <c r="Q21" s="187"/>
      <c r="R21" s="187"/>
      <c r="S21" s="187"/>
      <c r="T21" s="187"/>
      <c r="U21" s="157">
        <v>392974.49999999994</v>
      </c>
      <c r="V21" s="144">
        <v>0</v>
      </c>
      <c r="W21" s="144">
        <v>0</v>
      </c>
      <c r="X21" s="144">
        <v>0</v>
      </c>
      <c r="Y21" s="144">
        <v>0</v>
      </c>
    </row>
    <row r="22" spans="1:25" s="6" customFormat="1" ht="134.25" customHeight="1" x14ac:dyDescent="0.3">
      <c r="A22" s="171" t="s">
        <v>63</v>
      </c>
      <c r="B22" s="169" t="s">
        <v>45</v>
      </c>
      <c r="C22" s="169" t="s">
        <v>1140</v>
      </c>
      <c r="D22" s="172" t="s">
        <v>28</v>
      </c>
      <c r="E22" s="184" t="s">
        <v>1438</v>
      </c>
      <c r="F22" s="39" t="s">
        <v>46</v>
      </c>
      <c r="G22" s="40" t="s">
        <v>31</v>
      </c>
      <c r="H22" s="187"/>
      <c r="I22" s="187"/>
      <c r="J22" s="187"/>
      <c r="K22" s="187"/>
      <c r="L22" s="187"/>
      <c r="M22" s="187"/>
      <c r="N22" s="187"/>
      <c r="O22" s="187"/>
      <c r="P22" s="187"/>
      <c r="Q22" s="187">
        <v>1050</v>
      </c>
      <c r="R22" s="187"/>
      <c r="S22" s="187"/>
      <c r="T22" s="187"/>
      <c r="U22" s="157">
        <v>1096044.5999999999</v>
      </c>
      <c r="V22" s="144">
        <v>16383.9</v>
      </c>
      <c r="W22" s="144">
        <v>0</v>
      </c>
      <c r="X22" s="144">
        <v>0</v>
      </c>
      <c r="Y22" s="144">
        <v>0</v>
      </c>
    </row>
    <row r="23" spans="1:25" s="6" customFormat="1" ht="192" x14ac:dyDescent="0.3">
      <c r="A23" s="171" t="s">
        <v>66</v>
      </c>
      <c r="B23" s="188" t="s">
        <v>1208</v>
      </c>
      <c r="C23" s="41" t="s">
        <v>48</v>
      </c>
      <c r="D23" s="42" t="s">
        <v>1145</v>
      </c>
      <c r="E23" s="187" t="s">
        <v>49</v>
      </c>
      <c r="F23" s="39"/>
      <c r="G23" s="133"/>
      <c r="H23" s="187"/>
      <c r="I23" s="187"/>
      <c r="J23" s="187"/>
      <c r="K23" s="187"/>
      <c r="L23" s="187"/>
      <c r="M23" s="187"/>
      <c r="N23" s="187"/>
      <c r="O23" s="187"/>
      <c r="P23" s="187"/>
      <c r="Q23" s="187"/>
      <c r="R23" s="187"/>
      <c r="S23" s="187"/>
      <c r="T23" s="187"/>
      <c r="U23" s="181">
        <v>0</v>
      </c>
      <c r="V23" s="180">
        <v>0</v>
      </c>
      <c r="W23" s="180">
        <v>0</v>
      </c>
      <c r="X23" s="180">
        <v>0</v>
      </c>
      <c r="Y23" s="180">
        <v>0</v>
      </c>
    </row>
    <row r="24" spans="1:25" s="6" customFormat="1" ht="88.5" customHeight="1" x14ac:dyDescent="0.3">
      <c r="A24" s="171" t="s">
        <v>75</v>
      </c>
      <c r="B24" s="189" t="s">
        <v>51</v>
      </c>
      <c r="C24" s="188" t="s">
        <v>868</v>
      </c>
      <c r="D24" s="187" t="s">
        <v>814</v>
      </c>
      <c r="E24" s="187" t="s">
        <v>52</v>
      </c>
      <c r="F24" s="192" t="s">
        <v>53</v>
      </c>
      <c r="G24" s="187" t="s">
        <v>54</v>
      </c>
      <c r="H24" s="187">
        <v>31</v>
      </c>
      <c r="I24" s="187">
        <v>37</v>
      </c>
      <c r="J24" s="187">
        <v>37</v>
      </c>
      <c r="K24" s="187">
        <v>37</v>
      </c>
      <c r="L24" s="187">
        <v>37</v>
      </c>
      <c r="M24" s="187">
        <v>37</v>
      </c>
      <c r="N24" s="187">
        <v>37</v>
      </c>
      <c r="O24" s="187">
        <v>37</v>
      </c>
      <c r="P24" s="187">
        <v>37</v>
      </c>
      <c r="Q24" s="187">
        <v>37</v>
      </c>
      <c r="R24" s="187">
        <v>37</v>
      </c>
      <c r="S24" s="187">
        <v>37</v>
      </c>
      <c r="T24" s="187">
        <v>37</v>
      </c>
      <c r="U24" s="181">
        <v>196994.40000000005</v>
      </c>
      <c r="V24" s="180">
        <v>0</v>
      </c>
      <c r="W24" s="180">
        <v>0</v>
      </c>
      <c r="X24" s="180">
        <v>0</v>
      </c>
      <c r="Y24" s="180">
        <v>196994.40000000005</v>
      </c>
    </row>
    <row r="25" spans="1:25" s="6" customFormat="1" ht="144" x14ac:dyDescent="0.3">
      <c r="A25" s="171" t="s">
        <v>77</v>
      </c>
      <c r="B25" s="188" t="s">
        <v>56</v>
      </c>
      <c r="C25" s="188" t="s">
        <v>57</v>
      </c>
      <c r="D25" s="187" t="s">
        <v>814</v>
      </c>
      <c r="E25" s="187" t="s">
        <v>52</v>
      </c>
      <c r="F25" s="192" t="s">
        <v>980</v>
      </c>
      <c r="G25" s="40" t="s">
        <v>58</v>
      </c>
      <c r="H25" s="43">
        <v>60</v>
      </c>
      <c r="I25" s="43">
        <v>80</v>
      </c>
      <c r="J25" s="43">
        <v>80</v>
      </c>
      <c r="K25" s="43">
        <v>80</v>
      </c>
      <c r="L25" s="43">
        <v>90</v>
      </c>
      <c r="M25" s="43">
        <v>90</v>
      </c>
      <c r="N25" s="43">
        <v>90</v>
      </c>
      <c r="O25" s="43">
        <v>95</v>
      </c>
      <c r="P25" s="43">
        <v>95</v>
      </c>
      <c r="Q25" s="43">
        <v>95</v>
      </c>
      <c r="R25" s="43">
        <v>100</v>
      </c>
      <c r="S25" s="43">
        <v>100</v>
      </c>
      <c r="T25" s="43">
        <v>100</v>
      </c>
      <c r="U25" s="181">
        <v>116830.79999999997</v>
      </c>
      <c r="V25" s="180">
        <v>0</v>
      </c>
      <c r="W25" s="180">
        <v>116830.79999999997</v>
      </c>
      <c r="X25" s="180">
        <v>0</v>
      </c>
      <c r="Y25" s="180">
        <v>0</v>
      </c>
    </row>
    <row r="26" spans="1:25" s="6" customFormat="1" ht="168" x14ac:dyDescent="0.3">
      <c r="A26" s="171" t="s">
        <v>69</v>
      </c>
      <c r="B26" s="189" t="s">
        <v>60</v>
      </c>
      <c r="C26" s="189" t="s">
        <v>61</v>
      </c>
      <c r="D26" s="187" t="s">
        <v>814</v>
      </c>
      <c r="E26" s="187" t="s">
        <v>52</v>
      </c>
      <c r="F26" s="39" t="s">
        <v>981</v>
      </c>
      <c r="G26" s="40" t="s">
        <v>62</v>
      </c>
      <c r="H26" s="187">
        <v>80</v>
      </c>
      <c r="I26" s="187">
        <v>80</v>
      </c>
      <c r="J26" s="187">
        <v>80</v>
      </c>
      <c r="K26" s="187">
        <v>80</v>
      </c>
      <c r="L26" s="187">
        <v>90</v>
      </c>
      <c r="M26" s="187">
        <v>90</v>
      </c>
      <c r="N26" s="187">
        <v>90</v>
      </c>
      <c r="O26" s="187">
        <v>95</v>
      </c>
      <c r="P26" s="187">
        <v>95</v>
      </c>
      <c r="Q26" s="187">
        <v>95</v>
      </c>
      <c r="R26" s="187">
        <v>100</v>
      </c>
      <c r="S26" s="187">
        <v>100</v>
      </c>
      <c r="T26" s="187">
        <v>100</v>
      </c>
      <c r="U26" s="181">
        <v>7372.7999999999984</v>
      </c>
      <c r="V26" s="180">
        <v>0</v>
      </c>
      <c r="W26" s="180">
        <v>7372.7999999999984</v>
      </c>
      <c r="X26" s="180">
        <v>0</v>
      </c>
      <c r="Y26" s="180">
        <v>0</v>
      </c>
    </row>
    <row r="27" spans="1:25" s="6" customFormat="1" ht="168" x14ac:dyDescent="0.3">
      <c r="A27" s="171" t="s">
        <v>1245</v>
      </c>
      <c r="B27" s="189" t="s">
        <v>64</v>
      </c>
      <c r="C27" s="188" t="s">
        <v>65</v>
      </c>
      <c r="D27" s="187" t="s">
        <v>814</v>
      </c>
      <c r="E27" s="187" t="s">
        <v>52</v>
      </c>
      <c r="F27" s="192" t="s">
        <v>974</v>
      </c>
      <c r="G27" s="40" t="s">
        <v>62</v>
      </c>
      <c r="H27" s="44">
        <f>11/39*100</f>
        <v>28.205128205128204</v>
      </c>
      <c r="I27" s="44">
        <f>27/37*100</f>
        <v>72.972972972972968</v>
      </c>
      <c r="J27" s="44">
        <f>28/37*100</f>
        <v>75.675675675675677</v>
      </c>
      <c r="K27" s="44">
        <f>37/37*100</f>
        <v>100</v>
      </c>
      <c r="L27" s="44">
        <f t="shared" ref="L27:T28" si="0">37/37*100</f>
        <v>100</v>
      </c>
      <c r="M27" s="44">
        <f t="shared" si="0"/>
        <v>100</v>
      </c>
      <c r="N27" s="44">
        <f t="shared" si="0"/>
        <v>100</v>
      </c>
      <c r="O27" s="44">
        <f t="shared" si="0"/>
        <v>100</v>
      </c>
      <c r="P27" s="44">
        <f t="shared" si="0"/>
        <v>100</v>
      </c>
      <c r="Q27" s="44">
        <f t="shared" si="0"/>
        <v>100</v>
      </c>
      <c r="R27" s="44">
        <f t="shared" si="0"/>
        <v>100</v>
      </c>
      <c r="S27" s="44">
        <f t="shared" si="0"/>
        <v>100</v>
      </c>
      <c r="T27" s="44">
        <f t="shared" si="0"/>
        <v>100</v>
      </c>
      <c r="U27" s="773">
        <v>108844.90000000002</v>
      </c>
      <c r="V27" s="791">
        <v>2196</v>
      </c>
      <c r="W27" s="791">
        <v>106648.90000000002</v>
      </c>
      <c r="X27" s="791">
        <v>0</v>
      </c>
      <c r="Y27" s="791">
        <v>0</v>
      </c>
    </row>
    <row r="28" spans="1:25" s="6" customFormat="1" ht="120" x14ac:dyDescent="0.3">
      <c r="A28" s="171" t="s">
        <v>71</v>
      </c>
      <c r="B28" s="189" t="s">
        <v>67</v>
      </c>
      <c r="C28" s="188" t="s">
        <v>68</v>
      </c>
      <c r="D28" s="187" t="s">
        <v>814</v>
      </c>
      <c r="E28" s="187" t="s">
        <v>52</v>
      </c>
      <c r="F28" s="192" t="s">
        <v>974</v>
      </c>
      <c r="G28" s="40" t="s">
        <v>62</v>
      </c>
      <c r="H28" s="44">
        <f>11/39*100</f>
        <v>28.205128205128204</v>
      </c>
      <c r="I28" s="44">
        <f>27/37*100</f>
        <v>72.972972972972968</v>
      </c>
      <c r="J28" s="44">
        <f>28/37*100</f>
        <v>75.675675675675677</v>
      </c>
      <c r="K28" s="44">
        <f>37/37*100</f>
        <v>100</v>
      </c>
      <c r="L28" s="44">
        <f t="shared" si="0"/>
        <v>100</v>
      </c>
      <c r="M28" s="44">
        <f t="shared" si="0"/>
        <v>100</v>
      </c>
      <c r="N28" s="44">
        <f t="shared" si="0"/>
        <v>100</v>
      </c>
      <c r="O28" s="44">
        <f t="shared" si="0"/>
        <v>100</v>
      </c>
      <c r="P28" s="44">
        <f t="shared" si="0"/>
        <v>100</v>
      </c>
      <c r="Q28" s="44">
        <f t="shared" si="0"/>
        <v>100</v>
      </c>
      <c r="R28" s="44">
        <f t="shared" si="0"/>
        <v>100</v>
      </c>
      <c r="S28" s="44">
        <f t="shared" si="0"/>
        <v>100</v>
      </c>
      <c r="T28" s="44">
        <f t="shared" si="0"/>
        <v>100</v>
      </c>
      <c r="U28" s="799"/>
      <c r="V28" s="795"/>
      <c r="W28" s="795"/>
      <c r="X28" s="795"/>
      <c r="Y28" s="795"/>
    </row>
    <row r="29" spans="1:25" s="6" customFormat="1" ht="148.5" customHeight="1" x14ac:dyDescent="0.3">
      <c r="A29" s="171" t="s">
        <v>55</v>
      </c>
      <c r="B29" s="189" t="s">
        <v>70</v>
      </c>
      <c r="C29" s="188" t="s">
        <v>1024</v>
      </c>
      <c r="D29" s="187" t="s">
        <v>814</v>
      </c>
      <c r="E29" s="187" t="s">
        <v>52</v>
      </c>
      <c r="F29" s="192" t="s">
        <v>978</v>
      </c>
      <c r="G29" s="40" t="s">
        <v>62</v>
      </c>
      <c r="H29" s="187">
        <v>0</v>
      </c>
      <c r="I29" s="187">
        <v>80</v>
      </c>
      <c r="J29" s="187">
        <v>100</v>
      </c>
      <c r="K29" s="187">
        <v>100</v>
      </c>
      <c r="L29" s="187">
        <v>100</v>
      </c>
      <c r="M29" s="187">
        <v>100</v>
      </c>
      <c r="N29" s="187">
        <v>100</v>
      </c>
      <c r="O29" s="187">
        <v>100</v>
      </c>
      <c r="P29" s="187">
        <v>100</v>
      </c>
      <c r="Q29" s="187">
        <v>100</v>
      </c>
      <c r="R29" s="187">
        <v>100</v>
      </c>
      <c r="S29" s="187">
        <v>100</v>
      </c>
      <c r="T29" s="187">
        <v>100</v>
      </c>
      <c r="U29" s="799"/>
      <c r="V29" s="795"/>
      <c r="W29" s="795"/>
      <c r="X29" s="795"/>
      <c r="Y29" s="795"/>
    </row>
    <row r="30" spans="1:25" s="6" customFormat="1" ht="144" x14ac:dyDescent="0.3">
      <c r="A30" s="171" t="s">
        <v>79</v>
      </c>
      <c r="B30" s="188" t="s">
        <v>1041</v>
      </c>
      <c r="C30" s="188" t="s">
        <v>72</v>
      </c>
      <c r="D30" s="187" t="s">
        <v>73</v>
      </c>
      <c r="E30" s="187" t="s">
        <v>52</v>
      </c>
      <c r="F30" s="45" t="s">
        <v>979</v>
      </c>
      <c r="G30" s="40" t="s">
        <v>62</v>
      </c>
      <c r="H30" s="43">
        <v>0</v>
      </c>
      <c r="I30" s="43">
        <v>10</v>
      </c>
      <c r="J30" s="43">
        <v>10</v>
      </c>
      <c r="K30" s="43">
        <v>10</v>
      </c>
      <c r="L30" s="43">
        <v>10</v>
      </c>
      <c r="M30" s="43">
        <v>10</v>
      </c>
      <c r="N30" s="43">
        <v>10</v>
      </c>
      <c r="O30" s="43">
        <v>5</v>
      </c>
      <c r="P30" s="43">
        <v>5</v>
      </c>
      <c r="Q30" s="43">
        <v>5</v>
      </c>
      <c r="R30" s="43">
        <v>3</v>
      </c>
      <c r="S30" s="43">
        <v>2</v>
      </c>
      <c r="T30" s="43">
        <v>2</v>
      </c>
      <c r="U30" s="799"/>
      <c r="V30" s="795"/>
      <c r="W30" s="795"/>
      <c r="X30" s="795"/>
      <c r="Y30" s="795"/>
    </row>
    <row r="31" spans="1:25" s="6" customFormat="1" ht="72" x14ac:dyDescent="0.3">
      <c r="A31" s="171" t="s">
        <v>59</v>
      </c>
      <c r="B31" s="189" t="s">
        <v>76</v>
      </c>
      <c r="C31" s="188" t="s">
        <v>977</v>
      </c>
      <c r="D31" s="187" t="s">
        <v>814</v>
      </c>
      <c r="E31" s="187" t="s">
        <v>52</v>
      </c>
      <c r="F31" s="192" t="s">
        <v>976</v>
      </c>
      <c r="G31" s="40" t="s">
        <v>62</v>
      </c>
      <c r="H31" s="187">
        <v>5</v>
      </c>
      <c r="I31" s="187">
        <v>5</v>
      </c>
      <c r="J31" s="187">
        <v>8</v>
      </c>
      <c r="K31" s="187">
        <v>10</v>
      </c>
      <c r="L31" s="187">
        <v>12</v>
      </c>
      <c r="M31" s="187">
        <v>15</v>
      </c>
      <c r="N31" s="187">
        <v>18</v>
      </c>
      <c r="O31" s="187">
        <v>20</v>
      </c>
      <c r="P31" s="187">
        <v>22</v>
      </c>
      <c r="Q31" s="187">
        <v>24</v>
      </c>
      <c r="R31" s="187">
        <v>26</v>
      </c>
      <c r="S31" s="187">
        <v>28</v>
      </c>
      <c r="T31" s="187">
        <v>30</v>
      </c>
      <c r="U31" s="799"/>
      <c r="V31" s="795"/>
      <c r="W31" s="795"/>
      <c r="X31" s="795"/>
      <c r="Y31" s="795"/>
    </row>
    <row r="32" spans="1:25" s="6" customFormat="1" ht="168" x14ac:dyDescent="0.3">
      <c r="A32" s="171" t="s">
        <v>92</v>
      </c>
      <c r="B32" s="189" t="s">
        <v>1205</v>
      </c>
      <c r="C32" s="188" t="s">
        <v>78</v>
      </c>
      <c r="D32" s="187" t="s">
        <v>814</v>
      </c>
      <c r="E32" s="187" t="s">
        <v>52</v>
      </c>
      <c r="F32" s="192" t="s">
        <v>975</v>
      </c>
      <c r="G32" s="40" t="s">
        <v>62</v>
      </c>
      <c r="H32" s="187">
        <v>0</v>
      </c>
      <c r="I32" s="187">
        <v>100</v>
      </c>
      <c r="J32" s="187">
        <v>100</v>
      </c>
      <c r="K32" s="187">
        <v>100</v>
      </c>
      <c r="L32" s="187">
        <v>100</v>
      </c>
      <c r="M32" s="187">
        <v>100</v>
      </c>
      <c r="N32" s="187">
        <v>100</v>
      </c>
      <c r="O32" s="187">
        <v>100</v>
      </c>
      <c r="P32" s="187">
        <v>100</v>
      </c>
      <c r="Q32" s="187">
        <v>100</v>
      </c>
      <c r="R32" s="187">
        <v>100</v>
      </c>
      <c r="S32" s="187">
        <v>100</v>
      </c>
      <c r="T32" s="187">
        <v>100</v>
      </c>
      <c r="U32" s="774"/>
      <c r="V32" s="792"/>
      <c r="W32" s="792"/>
      <c r="X32" s="792"/>
      <c r="Y32" s="792"/>
    </row>
    <row r="33" spans="1:25" s="6" customFormat="1" ht="336" x14ac:dyDescent="0.3">
      <c r="A33" s="171" t="s">
        <v>96</v>
      </c>
      <c r="B33" s="189" t="s">
        <v>80</v>
      </c>
      <c r="C33" s="189" t="s">
        <v>1025</v>
      </c>
      <c r="D33" s="160" t="s">
        <v>73</v>
      </c>
      <c r="E33" s="187" t="s">
        <v>52</v>
      </c>
      <c r="F33" s="46" t="s">
        <v>1026</v>
      </c>
      <c r="G33" s="40" t="s">
        <v>62</v>
      </c>
      <c r="H33" s="187">
        <v>99</v>
      </c>
      <c r="I33" s="187">
        <v>100</v>
      </c>
      <c r="J33" s="187">
        <v>100</v>
      </c>
      <c r="K33" s="187">
        <v>100</v>
      </c>
      <c r="L33" s="187">
        <v>100</v>
      </c>
      <c r="M33" s="187">
        <v>100</v>
      </c>
      <c r="N33" s="187">
        <v>100</v>
      </c>
      <c r="O33" s="187">
        <v>100</v>
      </c>
      <c r="P33" s="187">
        <v>100</v>
      </c>
      <c r="Q33" s="187">
        <v>100</v>
      </c>
      <c r="R33" s="187">
        <v>100</v>
      </c>
      <c r="S33" s="187">
        <v>100</v>
      </c>
      <c r="T33" s="187">
        <v>100</v>
      </c>
      <c r="U33" s="181">
        <v>12116.400000000001</v>
      </c>
      <c r="V33" s="180">
        <v>0</v>
      </c>
      <c r="W33" s="180">
        <v>12116.400000000001</v>
      </c>
      <c r="X33" s="180">
        <v>0</v>
      </c>
      <c r="Y33" s="180">
        <v>0</v>
      </c>
    </row>
    <row r="34" spans="1:25" s="6" customFormat="1" ht="120" x14ac:dyDescent="0.3">
      <c r="A34" s="47" t="s">
        <v>100</v>
      </c>
      <c r="B34" s="188" t="s">
        <v>930</v>
      </c>
      <c r="C34" s="188" t="s">
        <v>1204</v>
      </c>
      <c r="D34" s="187" t="s">
        <v>139</v>
      </c>
      <c r="E34" s="187" t="s">
        <v>52</v>
      </c>
      <c r="F34" s="192" t="s">
        <v>1088</v>
      </c>
      <c r="G34" s="187" t="s">
        <v>931</v>
      </c>
      <c r="H34" s="187">
        <v>42</v>
      </c>
      <c r="I34" s="187">
        <v>67</v>
      </c>
      <c r="J34" s="187">
        <v>67</v>
      </c>
      <c r="K34" s="187">
        <v>67</v>
      </c>
      <c r="L34" s="187">
        <v>67</v>
      </c>
      <c r="M34" s="187">
        <v>67</v>
      </c>
      <c r="N34" s="187">
        <v>67</v>
      </c>
      <c r="O34" s="187">
        <v>67</v>
      </c>
      <c r="P34" s="187">
        <v>67</v>
      </c>
      <c r="Q34" s="187">
        <v>67</v>
      </c>
      <c r="R34" s="187">
        <v>67</v>
      </c>
      <c r="S34" s="187">
        <v>67</v>
      </c>
      <c r="T34" s="187">
        <v>67</v>
      </c>
      <c r="U34" s="181">
        <v>42861.600000000006</v>
      </c>
      <c r="V34" s="180">
        <v>38055.599999999999</v>
      </c>
      <c r="W34" s="180">
        <v>0</v>
      </c>
      <c r="X34" s="180">
        <v>0</v>
      </c>
      <c r="Y34" s="180">
        <v>0</v>
      </c>
    </row>
    <row r="35" spans="1:25" s="6" customFormat="1" ht="144" x14ac:dyDescent="0.3">
      <c r="A35" s="171" t="s">
        <v>1246</v>
      </c>
      <c r="B35" s="189" t="s">
        <v>1019</v>
      </c>
      <c r="C35" s="189" t="s">
        <v>853</v>
      </c>
      <c r="D35" s="42" t="s">
        <v>28</v>
      </c>
      <c r="E35" s="187" t="s">
        <v>84</v>
      </c>
      <c r="F35" s="39" t="s">
        <v>85</v>
      </c>
      <c r="G35" s="40" t="s">
        <v>62</v>
      </c>
      <c r="H35" s="187">
        <v>93</v>
      </c>
      <c r="I35" s="187">
        <v>96.9</v>
      </c>
      <c r="J35" s="187">
        <v>96.9</v>
      </c>
      <c r="K35" s="187">
        <v>96.9</v>
      </c>
      <c r="L35" s="187">
        <v>96.9</v>
      </c>
      <c r="M35" s="187">
        <v>96.9</v>
      </c>
      <c r="N35" s="187">
        <v>96.9</v>
      </c>
      <c r="O35" s="187">
        <v>96.9</v>
      </c>
      <c r="P35" s="187">
        <v>96.9</v>
      </c>
      <c r="Q35" s="187">
        <v>96.9</v>
      </c>
      <c r="R35" s="187">
        <v>96.9</v>
      </c>
      <c r="S35" s="187">
        <v>96.9</v>
      </c>
      <c r="T35" s="187">
        <v>96.9</v>
      </c>
      <c r="U35" s="181">
        <v>575423.4</v>
      </c>
      <c r="V35" s="180">
        <v>0</v>
      </c>
      <c r="W35" s="180">
        <v>0</v>
      </c>
      <c r="X35" s="180">
        <v>0</v>
      </c>
      <c r="Y35" s="180">
        <v>0</v>
      </c>
    </row>
    <row r="36" spans="1:25" s="6" customFormat="1" ht="192" x14ac:dyDescent="0.3">
      <c r="A36" s="171" t="s">
        <v>1247</v>
      </c>
      <c r="B36" s="189" t="s">
        <v>1203</v>
      </c>
      <c r="C36" s="188" t="s">
        <v>854</v>
      </c>
      <c r="D36" s="42" t="s">
        <v>28</v>
      </c>
      <c r="E36" s="187" t="s">
        <v>87</v>
      </c>
      <c r="F36" s="39" t="s">
        <v>85</v>
      </c>
      <c r="G36" s="40" t="s">
        <v>62</v>
      </c>
      <c r="H36" s="187">
        <v>93</v>
      </c>
      <c r="I36" s="187">
        <v>96.9</v>
      </c>
      <c r="J36" s="187">
        <v>96.9</v>
      </c>
      <c r="K36" s="187">
        <v>96.9</v>
      </c>
      <c r="L36" s="187">
        <v>96.9</v>
      </c>
      <c r="M36" s="187">
        <v>96.9</v>
      </c>
      <c r="N36" s="187">
        <v>96.9</v>
      </c>
      <c r="O36" s="187">
        <v>96.9</v>
      </c>
      <c r="P36" s="187">
        <v>96.9</v>
      </c>
      <c r="Q36" s="187">
        <v>96.9</v>
      </c>
      <c r="R36" s="187">
        <v>96.9</v>
      </c>
      <c r="S36" s="187">
        <v>96.9</v>
      </c>
      <c r="T36" s="187">
        <v>96.9</v>
      </c>
      <c r="U36" s="181">
        <v>548022.30000000005</v>
      </c>
      <c r="V36" s="180">
        <v>0</v>
      </c>
      <c r="W36" s="180">
        <v>0</v>
      </c>
      <c r="X36" s="180">
        <v>0</v>
      </c>
      <c r="Y36" s="180">
        <v>0</v>
      </c>
    </row>
    <row r="37" spans="1:25" s="6" customFormat="1" ht="71.25" customHeight="1" x14ac:dyDescent="0.3">
      <c r="A37" s="796" t="s">
        <v>26</v>
      </c>
      <c r="B37" s="804" t="s">
        <v>1439</v>
      </c>
      <c r="C37" s="859" t="s">
        <v>1020</v>
      </c>
      <c r="D37" s="814" t="s">
        <v>28</v>
      </c>
      <c r="E37" s="728" t="s">
        <v>43</v>
      </c>
      <c r="F37" s="192" t="s">
        <v>993</v>
      </c>
      <c r="G37" s="187" t="s">
        <v>31</v>
      </c>
      <c r="H37" s="187"/>
      <c r="I37" s="187"/>
      <c r="J37" s="187"/>
      <c r="K37" s="187"/>
      <c r="L37" s="187"/>
      <c r="M37" s="187"/>
      <c r="N37" s="187"/>
      <c r="O37" s="187"/>
      <c r="P37" s="187"/>
      <c r="Q37" s="187"/>
      <c r="R37" s="187"/>
      <c r="S37" s="187"/>
      <c r="T37" s="187">
        <v>1</v>
      </c>
      <c r="U37" s="773">
        <v>153000</v>
      </c>
      <c r="V37" s="791">
        <v>0</v>
      </c>
      <c r="W37" s="791">
        <v>0</v>
      </c>
      <c r="X37" s="791">
        <v>0</v>
      </c>
      <c r="Y37" s="791">
        <v>0</v>
      </c>
    </row>
    <row r="38" spans="1:25" s="6" customFormat="1" ht="249" customHeight="1" x14ac:dyDescent="0.3">
      <c r="A38" s="797"/>
      <c r="B38" s="805"/>
      <c r="C38" s="861"/>
      <c r="D38" s="815"/>
      <c r="E38" s="729"/>
      <c r="F38" s="192" t="s">
        <v>992</v>
      </c>
      <c r="G38" s="187" t="s">
        <v>62</v>
      </c>
      <c r="H38" s="187"/>
      <c r="I38" s="187"/>
      <c r="J38" s="187"/>
      <c r="K38" s="187"/>
      <c r="L38" s="187"/>
      <c r="M38" s="187"/>
      <c r="N38" s="187"/>
      <c r="O38" s="187"/>
      <c r="P38" s="187"/>
      <c r="Q38" s="187"/>
      <c r="R38" s="187"/>
      <c r="S38" s="187"/>
      <c r="T38" s="187">
        <v>10</v>
      </c>
      <c r="U38" s="774"/>
      <c r="V38" s="792"/>
      <c r="W38" s="792"/>
      <c r="X38" s="792"/>
      <c r="Y38" s="792"/>
    </row>
    <row r="39" spans="1:25" s="6" customFormat="1" ht="409.5" customHeight="1" x14ac:dyDescent="0.3">
      <c r="A39" s="796" t="s">
        <v>32</v>
      </c>
      <c r="B39" s="830" t="s">
        <v>1028</v>
      </c>
      <c r="C39" s="817" t="s">
        <v>90</v>
      </c>
      <c r="D39" s="728" t="s">
        <v>814</v>
      </c>
      <c r="E39" s="728" t="s">
        <v>91</v>
      </c>
      <c r="F39" s="817" t="s">
        <v>973</v>
      </c>
      <c r="G39" s="728" t="s">
        <v>62</v>
      </c>
      <c r="H39" s="728">
        <v>0</v>
      </c>
      <c r="I39" s="728">
        <v>0</v>
      </c>
      <c r="J39" s="728">
        <v>100</v>
      </c>
      <c r="K39" s="728">
        <v>100</v>
      </c>
      <c r="L39" s="728">
        <v>100</v>
      </c>
      <c r="M39" s="728">
        <v>100</v>
      </c>
      <c r="N39" s="728">
        <v>100</v>
      </c>
      <c r="O39" s="728">
        <v>100</v>
      </c>
      <c r="P39" s="728">
        <v>100</v>
      </c>
      <c r="Q39" s="728">
        <v>100</v>
      </c>
      <c r="R39" s="728">
        <v>100</v>
      </c>
      <c r="S39" s="728">
        <v>100</v>
      </c>
      <c r="T39" s="728">
        <v>100</v>
      </c>
      <c r="U39" s="773">
        <v>6000</v>
      </c>
      <c r="V39" s="791">
        <v>0</v>
      </c>
      <c r="W39" s="791">
        <v>0</v>
      </c>
      <c r="X39" s="791">
        <v>0</v>
      </c>
      <c r="Y39" s="791">
        <v>0</v>
      </c>
    </row>
    <row r="40" spans="1:25" s="6" customFormat="1" ht="106.5" customHeight="1" x14ac:dyDescent="0.3">
      <c r="A40" s="797"/>
      <c r="B40" s="831"/>
      <c r="C40" s="818"/>
      <c r="D40" s="729"/>
      <c r="E40" s="729"/>
      <c r="F40" s="818"/>
      <c r="G40" s="729"/>
      <c r="H40" s="729"/>
      <c r="I40" s="729"/>
      <c r="J40" s="729"/>
      <c r="K40" s="729"/>
      <c r="L40" s="729"/>
      <c r="M40" s="729"/>
      <c r="N40" s="729"/>
      <c r="O40" s="729"/>
      <c r="P40" s="729"/>
      <c r="Q40" s="729"/>
      <c r="R40" s="729"/>
      <c r="S40" s="729"/>
      <c r="T40" s="729"/>
      <c r="U40" s="774"/>
      <c r="V40" s="792"/>
      <c r="W40" s="792"/>
      <c r="X40" s="792"/>
      <c r="Y40" s="792"/>
    </row>
    <row r="41" spans="1:25" s="6" customFormat="1" ht="72" x14ac:dyDescent="0.3">
      <c r="A41" s="796" t="s">
        <v>35</v>
      </c>
      <c r="B41" s="804" t="s">
        <v>93</v>
      </c>
      <c r="C41" s="188" t="s">
        <v>1259</v>
      </c>
      <c r="D41" s="728" t="s">
        <v>94</v>
      </c>
      <c r="E41" s="728" t="s">
        <v>95</v>
      </c>
      <c r="F41" s="192" t="s">
        <v>53</v>
      </c>
      <c r="G41" s="187" t="s">
        <v>54</v>
      </c>
      <c r="H41" s="187">
        <v>40</v>
      </c>
      <c r="I41" s="187">
        <v>37</v>
      </c>
      <c r="J41" s="187">
        <v>37</v>
      </c>
      <c r="K41" s="187">
        <v>37</v>
      </c>
      <c r="L41" s="187">
        <v>37</v>
      </c>
      <c r="M41" s="187">
        <v>37</v>
      </c>
      <c r="N41" s="187">
        <v>37</v>
      </c>
      <c r="O41" s="187">
        <v>37</v>
      </c>
      <c r="P41" s="187">
        <v>37</v>
      </c>
      <c r="Q41" s="187">
        <v>37</v>
      </c>
      <c r="R41" s="187">
        <v>37</v>
      </c>
      <c r="S41" s="187">
        <v>37</v>
      </c>
      <c r="T41" s="187">
        <v>37</v>
      </c>
      <c r="U41" s="181">
        <v>0</v>
      </c>
      <c r="V41" s="180">
        <v>0</v>
      </c>
      <c r="W41" s="180">
        <v>0</v>
      </c>
      <c r="X41" s="180">
        <v>0</v>
      </c>
      <c r="Y41" s="180">
        <v>0</v>
      </c>
    </row>
    <row r="42" spans="1:25" s="6" customFormat="1" ht="96" x14ac:dyDescent="0.3">
      <c r="A42" s="851"/>
      <c r="B42" s="852"/>
      <c r="C42" s="188" t="s">
        <v>1260</v>
      </c>
      <c r="D42" s="734"/>
      <c r="E42" s="734"/>
      <c r="F42" s="192" t="s">
        <v>53</v>
      </c>
      <c r="G42" s="187" t="s">
        <v>54</v>
      </c>
      <c r="H42" s="187">
        <v>3</v>
      </c>
      <c r="I42" s="187">
        <v>3</v>
      </c>
      <c r="J42" s="187">
        <v>3</v>
      </c>
      <c r="K42" s="187">
        <v>3</v>
      </c>
      <c r="L42" s="187">
        <v>3</v>
      </c>
      <c r="M42" s="187">
        <v>3</v>
      </c>
      <c r="N42" s="187">
        <v>3</v>
      </c>
      <c r="O42" s="187">
        <v>3</v>
      </c>
      <c r="P42" s="187">
        <v>3</v>
      </c>
      <c r="Q42" s="187">
        <v>3</v>
      </c>
      <c r="R42" s="187">
        <v>3</v>
      </c>
      <c r="S42" s="187">
        <v>3</v>
      </c>
      <c r="T42" s="187">
        <v>3</v>
      </c>
      <c r="U42" s="181">
        <v>0</v>
      </c>
      <c r="V42" s="180">
        <v>0</v>
      </c>
      <c r="W42" s="180">
        <v>0</v>
      </c>
      <c r="X42" s="180">
        <v>0</v>
      </c>
      <c r="Y42" s="180">
        <v>0</v>
      </c>
    </row>
    <row r="43" spans="1:25" s="6" customFormat="1" ht="72" x14ac:dyDescent="0.3">
      <c r="A43" s="851"/>
      <c r="B43" s="852"/>
      <c r="C43" s="188" t="s">
        <v>1261</v>
      </c>
      <c r="D43" s="734"/>
      <c r="E43" s="734"/>
      <c r="F43" s="192" t="s">
        <v>53</v>
      </c>
      <c r="G43" s="187" t="s">
        <v>54</v>
      </c>
      <c r="H43" s="187">
        <v>17</v>
      </c>
      <c r="I43" s="187">
        <v>27</v>
      </c>
      <c r="J43" s="187">
        <v>30</v>
      </c>
      <c r="K43" s="187">
        <v>37</v>
      </c>
      <c r="L43" s="187">
        <v>37</v>
      </c>
      <c r="M43" s="187">
        <v>37</v>
      </c>
      <c r="N43" s="187">
        <v>37</v>
      </c>
      <c r="O43" s="187">
        <v>37</v>
      </c>
      <c r="P43" s="187">
        <v>37</v>
      </c>
      <c r="Q43" s="187">
        <v>37</v>
      </c>
      <c r="R43" s="187">
        <v>37</v>
      </c>
      <c r="S43" s="187">
        <v>37</v>
      </c>
      <c r="T43" s="187">
        <v>37</v>
      </c>
      <c r="U43" s="181">
        <v>0</v>
      </c>
      <c r="V43" s="180">
        <v>0</v>
      </c>
      <c r="W43" s="180">
        <v>0</v>
      </c>
      <c r="X43" s="180">
        <v>0</v>
      </c>
      <c r="Y43" s="180">
        <v>0</v>
      </c>
    </row>
    <row r="44" spans="1:25" s="6" customFormat="1" ht="72" x14ac:dyDescent="0.3">
      <c r="A44" s="851"/>
      <c r="B44" s="852"/>
      <c r="C44" s="188" t="s">
        <v>1262</v>
      </c>
      <c r="D44" s="734"/>
      <c r="E44" s="734"/>
      <c r="F44" s="192" t="s">
        <v>53</v>
      </c>
      <c r="G44" s="187" t="s">
        <v>54</v>
      </c>
      <c r="H44" s="187">
        <v>15</v>
      </c>
      <c r="I44" s="187">
        <v>21</v>
      </c>
      <c r="J44" s="187">
        <v>30</v>
      </c>
      <c r="K44" s="187">
        <v>37</v>
      </c>
      <c r="L44" s="187">
        <v>37</v>
      </c>
      <c r="M44" s="187">
        <v>37</v>
      </c>
      <c r="N44" s="187">
        <v>37</v>
      </c>
      <c r="O44" s="187">
        <v>37</v>
      </c>
      <c r="P44" s="187">
        <v>37</v>
      </c>
      <c r="Q44" s="187">
        <v>37</v>
      </c>
      <c r="R44" s="187">
        <v>37</v>
      </c>
      <c r="S44" s="187">
        <v>37</v>
      </c>
      <c r="T44" s="187">
        <v>37</v>
      </c>
      <c r="U44" s="181">
        <v>0</v>
      </c>
      <c r="V44" s="180">
        <v>0</v>
      </c>
      <c r="W44" s="180">
        <v>0</v>
      </c>
      <c r="X44" s="180">
        <v>0</v>
      </c>
      <c r="Y44" s="180">
        <v>0</v>
      </c>
    </row>
    <row r="45" spans="1:25" s="6" customFormat="1" ht="72" x14ac:dyDescent="0.3">
      <c r="A45" s="851"/>
      <c r="B45" s="852"/>
      <c r="C45" s="188" t="s">
        <v>1263</v>
      </c>
      <c r="D45" s="734"/>
      <c r="E45" s="734"/>
      <c r="F45" s="192" t="s">
        <v>53</v>
      </c>
      <c r="G45" s="187" t="s">
        <v>54</v>
      </c>
      <c r="H45" s="187">
        <v>39</v>
      </c>
      <c r="I45" s="187">
        <v>36</v>
      </c>
      <c r="J45" s="187">
        <v>36</v>
      </c>
      <c r="K45" s="187">
        <v>36</v>
      </c>
      <c r="L45" s="187">
        <v>36</v>
      </c>
      <c r="M45" s="187">
        <v>36</v>
      </c>
      <c r="N45" s="187">
        <v>36</v>
      </c>
      <c r="O45" s="187">
        <v>36</v>
      </c>
      <c r="P45" s="187">
        <v>36</v>
      </c>
      <c r="Q45" s="187">
        <v>36</v>
      </c>
      <c r="R45" s="187">
        <v>36</v>
      </c>
      <c r="S45" s="187">
        <v>36</v>
      </c>
      <c r="T45" s="187">
        <v>36</v>
      </c>
      <c r="U45" s="181">
        <v>0</v>
      </c>
      <c r="V45" s="180">
        <v>0</v>
      </c>
      <c r="W45" s="180">
        <v>0</v>
      </c>
      <c r="X45" s="180">
        <v>0</v>
      </c>
      <c r="Y45" s="180">
        <v>0</v>
      </c>
    </row>
    <row r="46" spans="1:25" s="6" customFormat="1" ht="72" x14ac:dyDescent="0.3">
      <c r="A46" s="851"/>
      <c r="B46" s="852"/>
      <c r="C46" s="188" t="s">
        <v>1264</v>
      </c>
      <c r="D46" s="734"/>
      <c r="E46" s="734"/>
      <c r="F46" s="192" t="s">
        <v>53</v>
      </c>
      <c r="G46" s="187" t="s">
        <v>54</v>
      </c>
      <c r="H46" s="187">
        <v>39</v>
      </c>
      <c r="I46" s="187">
        <v>36</v>
      </c>
      <c r="J46" s="187">
        <v>36</v>
      </c>
      <c r="K46" s="187">
        <v>36</v>
      </c>
      <c r="L46" s="187">
        <v>36</v>
      </c>
      <c r="M46" s="187">
        <v>36</v>
      </c>
      <c r="N46" s="187">
        <v>36</v>
      </c>
      <c r="O46" s="187">
        <v>36</v>
      </c>
      <c r="P46" s="187">
        <v>36</v>
      </c>
      <c r="Q46" s="187">
        <v>36</v>
      </c>
      <c r="R46" s="187">
        <v>36</v>
      </c>
      <c r="S46" s="187">
        <v>36</v>
      </c>
      <c r="T46" s="187">
        <v>36</v>
      </c>
      <c r="U46" s="181">
        <v>0</v>
      </c>
      <c r="V46" s="180">
        <v>0</v>
      </c>
      <c r="W46" s="180">
        <v>0</v>
      </c>
      <c r="X46" s="180">
        <v>0</v>
      </c>
      <c r="Y46" s="180">
        <v>0</v>
      </c>
    </row>
    <row r="47" spans="1:25" s="6" customFormat="1" ht="72" x14ac:dyDescent="0.3">
      <c r="A47" s="851"/>
      <c r="B47" s="852"/>
      <c r="C47" s="188" t="s">
        <v>1265</v>
      </c>
      <c r="D47" s="734"/>
      <c r="E47" s="734"/>
      <c r="F47" s="192" t="s">
        <v>53</v>
      </c>
      <c r="G47" s="187" t="s">
        <v>54</v>
      </c>
      <c r="H47" s="187">
        <v>15</v>
      </c>
      <c r="I47" s="187">
        <v>24</v>
      </c>
      <c r="J47" s="187">
        <v>26</v>
      </c>
      <c r="K47" s="187">
        <v>28</v>
      </c>
      <c r="L47" s="187">
        <v>30</v>
      </c>
      <c r="M47" s="187">
        <v>37</v>
      </c>
      <c r="N47" s="187">
        <v>37</v>
      </c>
      <c r="O47" s="187">
        <v>37</v>
      </c>
      <c r="P47" s="187">
        <v>37</v>
      </c>
      <c r="Q47" s="187">
        <v>37</v>
      </c>
      <c r="R47" s="187">
        <v>37</v>
      </c>
      <c r="S47" s="187">
        <v>37</v>
      </c>
      <c r="T47" s="187">
        <v>37</v>
      </c>
      <c r="U47" s="181">
        <v>0</v>
      </c>
      <c r="V47" s="180">
        <v>0</v>
      </c>
      <c r="W47" s="180">
        <v>0</v>
      </c>
      <c r="X47" s="180">
        <v>0</v>
      </c>
      <c r="Y47" s="180">
        <v>0</v>
      </c>
    </row>
    <row r="48" spans="1:25" s="6" customFormat="1" ht="72" x14ac:dyDescent="0.3">
      <c r="A48" s="851"/>
      <c r="B48" s="852"/>
      <c r="C48" s="188" t="s">
        <v>1266</v>
      </c>
      <c r="D48" s="734"/>
      <c r="E48" s="734"/>
      <c r="F48" s="192" t="s">
        <v>53</v>
      </c>
      <c r="G48" s="187" t="s">
        <v>54</v>
      </c>
      <c r="H48" s="187">
        <v>3</v>
      </c>
      <c r="I48" s="187">
        <v>3</v>
      </c>
      <c r="J48" s="187">
        <v>3</v>
      </c>
      <c r="K48" s="187">
        <v>3</v>
      </c>
      <c r="L48" s="187">
        <v>3</v>
      </c>
      <c r="M48" s="187">
        <v>3</v>
      </c>
      <c r="N48" s="187">
        <v>3</v>
      </c>
      <c r="O48" s="187">
        <v>3</v>
      </c>
      <c r="P48" s="187">
        <v>5</v>
      </c>
      <c r="Q48" s="187">
        <v>7</v>
      </c>
      <c r="R48" s="187">
        <v>10</v>
      </c>
      <c r="S48" s="187">
        <v>10</v>
      </c>
      <c r="T48" s="187">
        <v>10</v>
      </c>
      <c r="U48" s="181">
        <v>0</v>
      </c>
      <c r="V48" s="180">
        <v>0</v>
      </c>
      <c r="W48" s="180">
        <v>0</v>
      </c>
      <c r="X48" s="180">
        <v>0</v>
      </c>
      <c r="Y48" s="180">
        <v>0</v>
      </c>
    </row>
    <row r="49" spans="1:25" s="6" customFormat="1" ht="72" x14ac:dyDescent="0.3">
      <c r="A49" s="851"/>
      <c r="B49" s="852"/>
      <c r="C49" s="188" t="s">
        <v>1267</v>
      </c>
      <c r="D49" s="734"/>
      <c r="E49" s="734"/>
      <c r="F49" s="192" t="s">
        <v>53</v>
      </c>
      <c r="G49" s="187" t="s">
        <v>54</v>
      </c>
      <c r="H49" s="187">
        <v>0</v>
      </c>
      <c r="I49" s="187">
        <v>36</v>
      </c>
      <c r="J49" s="187">
        <v>36</v>
      </c>
      <c r="K49" s="187">
        <v>36</v>
      </c>
      <c r="L49" s="187">
        <v>36</v>
      </c>
      <c r="M49" s="187">
        <v>36</v>
      </c>
      <c r="N49" s="187">
        <v>36</v>
      </c>
      <c r="O49" s="187">
        <v>36</v>
      </c>
      <c r="P49" s="187">
        <v>36</v>
      </c>
      <c r="Q49" s="187">
        <v>36</v>
      </c>
      <c r="R49" s="187">
        <v>36</v>
      </c>
      <c r="S49" s="187">
        <v>36</v>
      </c>
      <c r="T49" s="187">
        <v>36</v>
      </c>
      <c r="U49" s="181">
        <v>0</v>
      </c>
      <c r="V49" s="180">
        <v>0</v>
      </c>
      <c r="W49" s="180">
        <v>0</v>
      </c>
      <c r="X49" s="180">
        <v>0</v>
      </c>
      <c r="Y49" s="180">
        <v>0</v>
      </c>
    </row>
    <row r="50" spans="1:25" s="6" customFormat="1" ht="72" x14ac:dyDescent="0.3">
      <c r="A50" s="851"/>
      <c r="B50" s="852"/>
      <c r="C50" s="188" t="s">
        <v>1268</v>
      </c>
      <c r="D50" s="734"/>
      <c r="E50" s="734"/>
      <c r="F50" s="192" t="s">
        <v>53</v>
      </c>
      <c r="G50" s="187" t="s">
        <v>54</v>
      </c>
      <c r="H50" s="187">
        <v>40</v>
      </c>
      <c r="I50" s="187">
        <v>37</v>
      </c>
      <c r="J50" s="187">
        <v>37</v>
      </c>
      <c r="K50" s="187">
        <v>37</v>
      </c>
      <c r="L50" s="187">
        <v>37</v>
      </c>
      <c r="M50" s="187">
        <v>37</v>
      </c>
      <c r="N50" s="187">
        <v>37</v>
      </c>
      <c r="O50" s="187">
        <v>37</v>
      </c>
      <c r="P50" s="187">
        <v>37</v>
      </c>
      <c r="Q50" s="187">
        <v>37</v>
      </c>
      <c r="R50" s="187">
        <v>37</v>
      </c>
      <c r="S50" s="187">
        <v>37</v>
      </c>
      <c r="T50" s="187">
        <v>37</v>
      </c>
      <c r="U50" s="181">
        <v>0</v>
      </c>
      <c r="V50" s="180">
        <v>0</v>
      </c>
      <c r="W50" s="180">
        <v>0</v>
      </c>
      <c r="X50" s="180">
        <v>0</v>
      </c>
      <c r="Y50" s="180">
        <v>0</v>
      </c>
    </row>
    <row r="51" spans="1:25" s="6" customFormat="1" ht="72" x14ac:dyDescent="0.3">
      <c r="A51" s="797"/>
      <c r="B51" s="805"/>
      <c r="C51" s="188" t="s">
        <v>1269</v>
      </c>
      <c r="D51" s="729"/>
      <c r="E51" s="729"/>
      <c r="F51" s="192" t="s">
        <v>53</v>
      </c>
      <c r="G51" s="187" t="s">
        <v>54</v>
      </c>
      <c r="H51" s="187">
        <v>0</v>
      </c>
      <c r="I51" s="187">
        <v>22</v>
      </c>
      <c r="J51" s="187">
        <v>22</v>
      </c>
      <c r="K51" s="187">
        <v>22</v>
      </c>
      <c r="L51" s="187">
        <v>22</v>
      </c>
      <c r="M51" s="187">
        <v>23</v>
      </c>
      <c r="N51" s="187">
        <v>23</v>
      </c>
      <c r="O51" s="187">
        <v>24</v>
      </c>
      <c r="P51" s="187">
        <v>24</v>
      </c>
      <c r="Q51" s="187">
        <v>25</v>
      </c>
      <c r="R51" s="187">
        <v>25</v>
      </c>
      <c r="S51" s="187">
        <v>26</v>
      </c>
      <c r="T51" s="187">
        <v>26</v>
      </c>
      <c r="U51" s="181">
        <v>0</v>
      </c>
      <c r="V51" s="180">
        <v>0</v>
      </c>
      <c r="W51" s="180">
        <v>0</v>
      </c>
      <c r="X51" s="180">
        <v>0</v>
      </c>
      <c r="Y51" s="180">
        <v>0</v>
      </c>
    </row>
    <row r="52" spans="1:25" s="6" customFormat="1" ht="168" x14ac:dyDescent="0.3">
      <c r="A52" s="171" t="s">
        <v>37</v>
      </c>
      <c r="B52" s="188" t="s">
        <v>97</v>
      </c>
      <c r="C52" s="188" t="s">
        <v>1029</v>
      </c>
      <c r="D52" s="187" t="s">
        <v>98</v>
      </c>
      <c r="E52" s="43" t="s">
        <v>99</v>
      </c>
      <c r="F52" s="192" t="s">
        <v>982</v>
      </c>
      <c r="G52" s="187" t="s">
        <v>54</v>
      </c>
      <c r="H52" s="187">
        <v>34</v>
      </c>
      <c r="I52" s="187">
        <v>18</v>
      </c>
      <c r="J52" s="187">
        <v>18</v>
      </c>
      <c r="K52" s="187">
        <v>18</v>
      </c>
      <c r="L52" s="187">
        <v>18</v>
      </c>
      <c r="M52" s="187">
        <v>18</v>
      </c>
      <c r="N52" s="187">
        <v>20</v>
      </c>
      <c r="O52" s="187">
        <v>20</v>
      </c>
      <c r="P52" s="187">
        <v>22</v>
      </c>
      <c r="Q52" s="187">
        <v>22</v>
      </c>
      <c r="R52" s="187">
        <v>23</v>
      </c>
      <c r="S52" s="187">
        <v>23</v>
      </c>
      <c r="T52" s="187">
        <v>23</v>
      </c>
      <c r="U52" s="181">
        <v>180000</v>
      </c>
      <c r="V52" s="180">
        <v>0</v>
      </c>
      <c r="W52" s="180">
        <v>0</v>
      </c>
      <c r="X52" s="180">
        <v>0</v>
      </c>
      <c r="Y52" s="180">
        <v>180000</v>
      </c>
    </row>
    <row r="53" spans="1:25" s="6" customFormat="1" ht="192" x14ac:dyDescent="0.3">
      <c r="A53" s="171" t="s">
        <v>40</v>
      </c>
      <c r="B53" s="188" t="s">
        <v>983</v>
      </c>
      <c r="C53" s="188" t="s">
        <v>1270</v>
      </c>
      <c r="D53" s="187" t="s">
        <v>98</v>
      </c>
      <c r="E53" s="43" t="s">
        <v>95</v>
      </c>
      <c r="F53" s="192" t="s">
        <v>1015</v>
      </c>
      <c r="G53" s="187" t="s">
        <v>54</v>
      </c>
      <c r="H53" s="187">
        <v>39</v>
      </c>
      <c r="I53" s="187">
        <v>36</v>
      </c>
      <c r="J53" s="187">
        <v>36</v>
      </c>
      <c r="K53" s="187">
        <v>36</v>
      </c>
      <c r="L53" s="187">
        <v>36</v>
      </c>
      <c r="M53" s="187">
        <v>36</v>
      </c>
      <c r="N53" s="187">
        <v>36</v>
      </c>
      <c r="O53" s="187">
        <v>36</v>
      </c>
      <c r="P53" s="187">
        <v>36</v>
      </c>
      <c r="Q53" s="187">
        <v>36</v>
      </c>
      <c r="R53" s="187">
        <v>36</v>
      </c>
      <c r="S53" s="187">
        <v>36</v>
      </c>
      <c r="T53" s="187">
        <v>36</v>
      </c>
      <c r="U53" s="181">
        <v>3300</v>
      </c>
      <c r="V53" s="180">
        <v>0</v>
      </c>
      <c r="W53" s="180">
        <v>0</v>
      </c>
      <c r="X53" s="180">
        <v>0</v>
      </c>
      <c r="Y53" s="180">
        <v>3300</v>
      </c>
    </row>
    <row r="54" spans="1:25" s="6" customFormat="1" ht="192" x14ac:dyDescent="0.3">
      <c r="A54" s="171" t="s">
        <v>42</v>
      </c>
      <c r="B54" s="189" t="s">
        <v>101</v>
      </c>
      <c r="C54" s="188" t="s">
        <v>1016</v>
      </c>
      <c r="D54" s="187" t="s">
        <v>98</v>
      </c>
      <c r="E54" s="43" t="s">
        <v>95</v>
      </c>
      <c r="F54" s="192" t="s">
        <v>984</v>
      </c>
      <c r="G54" s="187" t="s">
        <v>54</v>
      </c>
      <c r="H54" s="187">
        <v>39</v>
      </c>
      <c r="I54" s="187">
        <v>36</v>
      </c>
      <c r="J54" s="187">
        <v>36</v>
      </c>
      <c r="K54" s="187">
        <v>36</v>
      </c>
      <c r="L54" s="187">
        <v>36</v>
      </c>
      <c r="M54" s="187">
        <v>36</v>
      </c>
      <c r="N54" s="187">
        <v>36</v>
      </c>
      <c r="O54" s="187">
        <v>36</v>
      </c>
      <c r="P54" s="187">
        <v>36</v>
      </c>
      <c r="Q54" s="187">
        <v>36</v>
      </c>
      <c r="R54" s="187">
        <v>36</v>
      </c>
      <c r="S54" s="187">
        <v>36</v>
      </c>
      <c r="T54" s="187">
        <v>36</v>
      </c>
      <c r="U54" s="181">
        <v>18000</v>
      </c>
      <c r="V54" s="180">
        <v>0</v>
      </c>
      <c r="W54" s="180">
        <v>0</v>
      </c>
      <c r="X54" s="180">
        <v>0</v>
      </c>
      <c r="Y54" s="180">
        <v>18000</v>
      </c>
    </row>
    <row r="55" spans="1:25" s="6" customFormat="1" ht="144" x14ac:dyDescent="0.3">
      <c r="A55" s="171" t="s">
        <v>44</v>
      </c>
      <c r="B55" s="189" t="s">
        <v>102</v>
      </c>
      <c r="C55" s="188" t="s">
        <v>1017</v>
      </c>
      <c r="D55" s="187" t="s">
        <v>98</v>
      </c>
      <c r="E55" s="43" t="s">
        <v>95</v>
      </c>
      <c r="F55" s="192" t="s">
        <v>985</v>
      </c>
      <c r="G55" s="187" t="s">
        <v>54</v>
      </c>
      <c r="H55" s="187">
        <v>39</v>
      </c>
      <c r="I55" s="187">
        <v>8</v>
      </c>
      <c r="J55" s="187">
        <v>10</v>
      </c>
      <c r="K55" s="187">
        <v>10</v>
      </c>
      <c r="L55" s="187">
        <v>10</v>
      </c>
      <c r="M55" s="187">
        <v>10</v>
      </c>
      <c r="N55" s="187">
        <v>10</v>
      </c>
      <c r="O55" s="187">
        <v>10</v>
      </c>
      <c r="P55" s="187">
        <v>10</v>
      </c>
      <c r="Q55" s="187">
        <v>10</v>
      </c>
      <c r="R55" s="187">
        <v>10</v>
      </c>
      <c r="S55" s="187">
        <v>10</v>
      </c>
      <c r="T55" s="187">
        <v>10</v>
      </c>
      <c r="U55" s="181">
        <v>1950</v>
      </c>
      <c r="V55" s="180">
        <v>0</v>
      </c>
      <c r="W55" s="180">
        <v>0</v>
      </c>
      <c r="X55" s="180">
        <v>0</v>
      </c>
      <c r="Y55" s="180">
        <v>1950</v>
      </c>
    </row>
    <row r="56" spans="1:25" s="6" customFormat="1" ht="192" x14ac:dyDescent="0.3">
      <c r="A56" s="171" t="s">
        <v>83</v>
      </c>
      <c r="B56" s="189" t="s">
        <v>104</v>
      </c>
      <c r="C56" s="188" t="s">
        <v>105</v>
      </c>
      <c r="D56" s="187" t="s">
        <v>814</v>
      </c>
      <c r="E56" s="187" t="s">
        <v>52</v>
      </c>
      <c r="F56" s="192" t="s">
        <v>106</v>
      </c>
      <c r="G56" s="187" t="s">
        <v>74</v>
      </c>
      <c r="H56" s="187">
        <v>38</v>
      </c>
      <c r="I56" s="187">
        <v>115</v>
      </c>
      <c r="J56" s="187">
        <v>120</v>
      </c>
      <c r="K56" s="187">
        <v>130</v>
      </c>
      <c r="L56" s="187">
        <v>130</v>
      </c>
      <c r="M56" s="187">
        <v>130</v>
      </c>
      <c r="N56" s="187">
        <v>130</v>
      </c>
      <c r="O56" s="187">
        <v>130</v>
      </c>
      <c r="P56" s="187">
        <v>130</v>
      </c>
      <c r="Q56" s="187">
        <v>130</v>
      </c>
      <c r="R56" s="187">
        <v>130</v>
      </c>
      <c r="S56" s="187">
        <v>130</v>
      </c>
      <c r="T56" s="187">
        <v>130</v>
      </c>
      <c r="U56" s="181">
        <v>25522.800000000007</v>
      </c>
      <c r="V56" s="180">
        <v>25522.800000000007</v>
      </c>
      <c r="W56" s="180">
        <v>0</v>
      </c>
      <c r="X56" s="180">
        <v>0</v>
      </c>
      <c r="Y56" s="180">
        <v>0</v>
      </c>
    </row>
    <row r="57" spans="1:25" s="6" customFormat="1" ht="144" x14ac:dyDescent="0.3">
      <c r="A57" s="171" t="s">
        <v>86</v>
      </c>
      <c r="B57" s="189" t="s">
        <v>108</v>
      </c>
      <c r="C57" s="188" t="s">
        <v>109</v>
      </c>
      <c r="D57" s="187" t="s">
        <v>814</v>
      </c>
      <c r="E57" s="187" t="s">
        <v>84</v>
      </c>
      <c r="F57" s="48" t="s">
        <v>110</v>
      </c>
      <c r="G57" s="187" t="s">
        <v>54</v>
      </c>
      <c r="H57" s="187">
        <v>0</v>
      </c>
      <c r="I57" s="187">
        <v>0</v>
      </c>
      <c r="J57" s="187">
        <v>0</v>
      </c>
      <c r="K57" s="187">
        <v>0</v>
      </c>
      <c r="L57" s="187">
        <v>0</v>
      </c>
      <c r="M57" s="187">
        <v>0</v>
      </c>
      <c r="N57" s="187">
        <v>0</v>
      </c>
      <c r="O57" s="187">
        <v>1</v>
      </c>
      <c r="P57" s="187">
        <v>1</v>
      </c>
      <c r="Q57" s="187">
        <v>1</v>
      </c>
      <c r="R57" s="187">
        <v>1</v>
      </c>
      <c r="S57" s="187">
        <v>1</v>
      </c>
      <c r="T57" s="187">
        <v>1</v>
      </c>
      <c r="U57" s="181">
        <v>2300</v>
      </c>
      <c r="V57" s="180">
        <v>0</v>
      </c>
      <c r="W57" s="180">
        <v>0</v>
      </c>
      <c r="X57" s="180">
        <v>0</v>
      </c>
      <c r="Y57" s="180">
        <v>0</v>
      </c>
    </row>
    <row r="58" spans="1:25" s="6" customFormat="1" ht="254.25" customHeight="1" x14ac:dyDescent="0.3">
      <c r="A58" s="171" t="s">
        <v>47</v>
      </c>
      <c r="B58" s="189" t="s">
        <v>111</v>
      </c>
      <c r="C58" s="188" t="s">
        <v>1271</v>
      </c>
      <c r="D58" s="187" t="s">
        <v>1131</v>
      </c>
      <c r="E58" s="187">
        <v>2022</v>
      </c>
      <c r="F58" s="192" t="s">
        <v>112</v>
      </c>
      <c r="G58" s="187" t="s">
        <v>113</v>
      </c>
      <c r="H58" s="187"/>
      <c r="I58" s="187"/>
      <c r="J58" s="187"/>
      <c r="K58" s="187"/>
      <c r="L58" s="187">
        <v>2</v>
      </c>
      <c r="M58" s="187"/>
      <c r="N58" s="187"/>
      <c r="O58" s="187"/>
      <c r="P58" s="187"/>
      <c r="Q58" s="187"/>
      <c r="R58" s="187"/>
      <c r="S58" s="187"/>
      <c r="T58" s="187"/>
      <c r="U58" s="181">
        <v>0</v>
      </c>
      <c r="V58" s="180">
        <v>0</v>
      </c>
      <c r="W58" s="180">
        <v>0</v>
      </c>
      <c r="X58" s="180">
        <v>0</v>
      </c>
      <c r="Y58" s="180">
        <v>0</v>
      </c>
    </row>
    <row r="59" spans="1:25" s="6" customFormat="1" ht="312" x14ac:dyDescent="0.3">
      <c r="A59" s="171" t="s">
        <v>88</v>
      </c>
      <c r="B59" s="167" t="s">
        <v>114</v>
      </c>
      <c r="C59" s="188" t="s">
        <v>1272</v>
      </c>
      <c r="D59" s="187" t="s">
        <v>115</v>
      </c>
      <c r="E59" s="187">
        <v>2022</v>
      </c>
      <c r="F59" s="192" t="s">
        <v>116</v>
      </c>
      <c r="G59" s="187" t="s">
        <v>117</v>
      </c>
      <c r="H59" s="187"/>
      <c r="I59" s="187"/>
      <c r="J59" s="187"/>
      <c r="K59" s="187"/>
      <c r="L59" s="187" t="s">
        <v>118</v>
      </c>
      <c r="M59" s="187"/>
      <c r="N59" s="187"/>
      <c r="O59" s="187"/>
      <c r="P59" s="187"/>
      <c r="Q59" s="187"/>
      <c r="R59" s="187"/>
      <c r="S59" s="187"/>
      <c r="T59" s="187"/>
      <c r="U59" s="181">
        <v>0</v>
      </c>
      <c r="V59" s="180">
        <v>0</v>
      </c>
      <c r="W59" s="180">
        <v>0</v>
      </c>
      <c r="X59" s="180">
        <v>0</v>
      </c>
      <c r="Y59" s="180">
        <v>0</v>
      </c>
    </row>
    <row r="60" spans="1:25" s="3" customFormat="1" ht="24" x14ac:dyDescent="0.3">
      <c r="A60" s="37" t="s">
        <v>119</v>
      </c>
      <c r="B60" s="958" t="s">
        <v>120</v>
      </c>
      <c r="C60" s="958"/>
      <c r="D60" s="958"/>
      <c r="E60" s="958"/>
      <c r="F60" s="958"/>
      <c r="G60" s="958"/>
      <c r="H60" s="958"/>
      <c r="I60" s="958"/>
      <c r="J60" s="958"/>
      <c r="K60" s="958"/>
      <c r="L60" s="958"/>
      <c r="M60" s="958"/>
      <c r="N60" s="958"/>
      <c r="O60" s="958"/>
      <c r="P60" s="958"/>
      <c r="Q60" s="958"/>
      <c r="R60" s="958"/>
      <c r="S60" s="958"/>
      <c r="T60" s="958"/>
      <c r="U60" s="51"/>
      <c r="V60" s="52"/>
      <c r="W60" s="52"/>
      <c r="X60" s="52"/>
      <c r="Y60" s="52"/>
    </row>
    <row r="61" spans="1:25" s="6" customFormat="1" ht="168" x14ac:dyDescent="0.3">
      <c r="A61" s="53" t="s">
        <v>1248</v>
      </c>
      <c r="B61" s="54" t="s">
        <v>121</v>
      </c>
      <c r="C61" s="188" t="s">
        <v>1075</v>
      </c>
      <c r="D61" s="187" t="s">
        <v>122</v>
      </c>
      <c r="E61" s="43">
        <v>2019</v>
      </c>
      <c r="F61" s="192" t="s">
        <v>123</v>
      </c>
      <c r="G61" s="187" t="s">
        <v>74</v>
      </c>
      <c r="H61" s="115"/>
      <c r="I61" s="115">
        <v>275</v>
      </c>
      <c r="J61" s="115"/>
      <c r="K61" s="115"/>
      <c r="L61" s="115"/>
      <c r="M61" s="115"/>
      <c r="N61" s="115"/>
      <c r="O61" s="115"/>
      <c r="P61" s="115"/>
      <c r="Q61" s="115"/>
      <c r="R61" s="115"/>
      <c r="S61" s="115"/>
      <c r="T61" s="115"/>
      <c r="U61" s="181">
        <v>5500</v>
      </c>
      <c r="V61" s="180">
        <v>0</v>
      </c>
      <c r="W61" s="180">
        <v>5500</v>
      </c>
      <c r="X61" s="180">
        <v>0</v>
      </c>
      <c r="Y61" s="180">
        <v>0</v>
      </c>
    </row>
    <row r="62" spans="1:25" s="6" customFormat="1" ht="174" customHeight="1" x14ac:dyDescent="0.3">
      <c r="A62" s="53" t="s">
        <v>1249</v>
      </c>
      <c r="B62" s="188" t="s">
        <v>1218</v>
      </c>
      <c r="C62" s="188" t="s">
        <v>1076</v>
      </c>
      <c r="D62" s="187" t="s">
        <v>122</v>
      </c>
      <c r="E62" s="43" t="s">
        <v>152</v>
      </c>
      <c r="F62" s="192" t="s">
        <v>125</v>
      </c>
      <c r="G62" s="43" t="s">
        <v>74</v>
      </c>
      <c r="H62" s="115"/>
      <c r="I62" s="115">
        <v>25</v>
      </c>
      <c r="J62" s="115">
        <v>25</v>
      </c>
      <c r="K62" s="115">
        <v>25</v>
      </c>
      <c r="L62" s="115"/>
      <c r="M62" s="115"/>
      <c r="N62" s="115"/>
      <c r="O62" s="115"/>
      <c r="P62" s="115"/>
      <c r="Q62" s="115"/>
      <c r="R62" s="115"/>
      <c r="S62" s="115"/>
      <c r="T62" s="115"/>
      <c r="U62" s="181">
        <v>5793.5999999999995</v>
      </c>
      <c r="V62" s="180">
        <v>0</v>
      </c>
      <c r="W62" s="180">
        <v>289.79999999999995</v>
      </c>
      <c r="X62" s="180">
        <v>5503.7999999999993</v>
      </c>
      <c r="Y62" s="180">
        <v>0</v>
      </c>
    </row>
    <row r="63" spans="1:25" s="6" customFormat="1" ht="120" x14ac:dyDescent="0.3">
      <c r="A63" s="53" t="s">
        <v>126</v>
      </c>
      <c r="B63" s="188" t="s">
        <v>127</v>
      </c>
      <c r="C63" s="188" t="s">
        <v>1077</v>
      </c>
      <c r="D63" s="187" t="s">
        <v>1133</v>
      </c>
      <c r="E63" s="43">
        <v>2019</v>
      </c>
      <c r="F63" s="192" t="s">
        <v>128</v>
      </c>
      <c r="G63" s="43" t="s">
        <v>117</v>
      </c>
      <c r="H63" s="115"/>
      <c r="I63" s="115" t="s">
        <v>118</v>
      </c>
      <c r="J63" s="115"/>
      <c r="K63" s="115"/>
      <c r="L63" s="115"/>
      <c r="M63" s="115"/>
      <c r="N63" s="115"/>
      <c r="O63" s="115"/>
      <c r="P63" s="115"/>
      <c r="Q63" s="115"/>
      <c r="R63" s="115"/>
      <c r="S63" s="115"/>
      <c r="T63" s="115"/>
      <c r="U63" s="181">
        <v>6600</v>
      </c>
      <c r="V63" s="180">
        <v>0</v>
      </c>
      <c r="W63" s="180">
        <v>0</v>
      </c>
      <c r="X63" s="180">
        <v>0</v>
      </c>
      <c r="Y63" s="180">
        <v>6600</v>
      </c>
    </row>
    <row r="64" spans="1:25" s="6" customFormat="1" ht="72" x14ac:dyDescent="0.3">
      <c r="A64" s="53" t="s">
        <v>129</v>
      </c>
      <c r="B64" s="188" t="s">
        <v>130</v>
      </c>
      <c r="C64" s="188" t="s">
        <v>131</v>
      </c>
      <c r="D64" s="187" t="s">
        <v>1133</v>
      </c>
      <c r="E64" s="43">
        <v>2019</v>
      </c>
      <c r="F64" s="192" t="s">
        <v>947</v>
      </c>
      <c r="G64" s="43" t="s">
        <v>931</v>
      </c>
      <c r="H64" s="115"/>
      <c r="I64" s="115">
        <v>1</v>
      </c>
      <c r="J64" s="115"/>
      <c r="K64" s="115"/>
      <c r="L64" s="115"/>
      <c r="M64" s="115"/>
      <c r="N64" s="115"/>
      <c r="O64" s="115"/>
      <c r="P64" s="115"/>
      <c r="Q64" s="115"/>
      <c r="R64" s="115"/>
      <c r="S64" s="115"/>
      <c r="T64" s="115"/>
      <c r="U64" s="181">
        <v>4500</v>
      </c>
      <c r="V64" s="180">
        <v>0</v>
      </c>
      <c r="W64" s="180">
        <v>0</v>
      </c>
      <c r="X64" s="180">
        <v>0</v>
      </c>
      <c r="Y64" s="180">
        <v>4500</v>
      </c>
    </row>
    <row r="65" spans="1:25" s="3" customFormat="1" ht="24" x14ac:dyDescent="0.3">
      <c r="A65" s="35" t="s">
        <v>132</v>
      </c>
      <c r="B65" s="955" t="s">
        <v>133</v>
      </c>
      <c r="C65" s="955"/>
      <c r="D65" s="955"/>
      <c r="E65" s="955"/>
      <c r="F65" s="955"/>
      <c r="G65" s="955"/>
      <c r="H65" s="955"/>
      <c r="I65" s="955"/>
      <c r="J65" s="955"/>
      <c r="K65" s="955"/>
      <c r="L65" s="955"/>
      <c r="M65" s="955"/>
      <c r="N65" s="955"/>
      <c r="O65" s="955"/>
      <c r="P65" s="955"/>
      <c r="Q65" s="955"/>
      <c r="R65" s="955"/>
      <c r="S65" s="955"/>
      <c r="T65" s="955"/>
      <c r="U65" s="56"/>
      <c r="V65" s="57"/>
      <c r="W65" s="57"/>
      <c r="X65" s="57"/>
      <c r="Y65" s="57"/>
    </row>
    <row r="66" spans="1:25" s="3" customFormat="1" ht="24" x14ac:dyDescent="0.3">
      <c r="A66" s="37" t="s">
        <v>134</v>
      </c>
      <c r="B66" s="956" t="s">
        <v>135</v>
      </c>
      <c r="C66" s="957"/>
      <c r="D66" s="957"/>
      <c r="E66" s="957"/>
      <c r="F66" s="957"/>
      <c r="G66" s="957"/>
      <c r="H66" s="957"/>
      <c r="I66" s="957"/>
      <c r="J66" s="957"/>
      <c r="K66" s="957"/>
      <c r="L66" s="957"/>
      <c r="M66" s="957"/>
      <c r="N66" s="957"/>
      <c r="O66" s="957"/>
      <c r="P66" s="957"/>
      <c r="Q66" s="957"/>
      <c r="R66" s="957"/>
      <c r="S66" s="957"/>
      <c r="T66" s="957"/>
      <c r="U66" s="51"/>
      <c r="V66" s="52"/>
      <c r="W66" s="52"/>
      <c r="X66" s="52"/>
      <c r="Y66" s="52"/>
    </row>
    <row r="67" spans="1:25" s="6" customFormat="1" ht="144" customHeight="1" x14ac:dyDescent="0.3">
      <c r="A67" s="728" t="s">
        <v>136</v>
      </c>
      <c r="B67" s="817" t="s">
        <v>137</v>
      </c>
      <c r="C67" s="817" t="s">
        <v>138</v>
      </c>
      <c r="D67" s="728" t="s">
        <v>139</v>
      </c>
      <c r="E67" s="728" t="s">
        <v>52</v>
      </c>
      <c r="F67" s="192" t="s">
        <v>1189</v>
      </c>
      <c r="G67" s="187" t="s">
        <v>62</v>
      </c>
      <c r="H67" s="187" t="s">
        <v>140</v>
      </c>
      <c r="I67" s="124">
        <f>26100/770000*100</f>
        <v>3.3896103896103895</v>
      </c>
      <c r="J67" s="124">
        <f>30300/770000*100</f>
        <v>3.9350649350649349</v>
      </c>
      <c r="K67" s="124">
        <f>34500/770000*100</f>
        <v>4.4805194805194803</v>
      </c>
      <c r="L67" s="124">
        <f>41700/770000*100</f>
        <v>5.4155844155844157</v>
      </c>
      <c r="M67" s="124">
        <f>49900/770000*100</f>
        <v>6.4805194805194812</v>
      </c>
      <c r="N67" s="124">
        <f>59100/770000*100</f>
        <v>7.6753246753246751</v>
      </c>
      <c r="O67" s="124">
        <f>69300/770000*100</f>
        <v>9</v>
      </c>
      <c r="P67" s="124">
        <f>80500/770000*100</f>
        <v>10.454545454545453</v>
      </c>
      <c r="Q67" s="124">
        <f>92700/770000*100</f>
        <v>12.038961038961039</v>
      </c>
      <c r="R67" s="124">
        <f>106200/770000*100</f>
        <v>13.792207792207792</v>
      </c>
      <c r="S67" s="124">
        <f>120700/770000*100</f>
        <v>15.675324675324676</v>
      </c>
      <c r="T67" s="124">
        <f>136200/770000*100</f>
        <v>17.688311688311689</v>
      </c>
      <c r="U67" s="181">
        <v>0</v>
      </c>
      <c r="V67" s="180">
        <v>0</v>
      </c>
      <c r="W67" s="180">
        <v>0</v>
      </c>
      <c r="X67" s="180">
        <v>0</v>
      </c>
      <c r="Y67" s="180">
        <v>0</v>
      </c>
    </row>
    <row r="68" spans="1:25" s="6" customFormat="1" ht="131.25" x14ac:dyDescent="0.3">
      <c r="A68" s="729"/>
      <c r="B68" s="818"/>
      <c r="C68" s="818"/>
      <c r="D68" s="729"/>
      <c r="E68" s="729"/>
      <c r="F68" s="141" t="s">
        <v>1411</v>
      </c>
      <c r="G68" s="142" t="s">
        <v>62</v>
      </c>
      <c r="H68" s="142" t="s">
        <v>140</v>
      </c>
      <c r="I68" s="142">
        <v>100</v>
      </c>
      <c r="J68" s="142">
        <v>100</v>
      </c>
      <c r="K68" s="142">
        <v>100</v>
      </c>
      <c r="L68" s="142">
        <v>100</v>
      </c>
      <c r="M68" s="142">
        <v>100</v>
      </c>
      <c r="N68" s="142">
        <v>100</v>
      </c>
      <c r="O68" s="142">
        <v>100</v>
      </c>
      <c r="P68" s="142">
        <v>100</v>
      </c>
      <c r="Q68" s="142">
        <v>100</v>
      </c>
      <c r="R68" s="142">
        <v>100</v>
      </c>
      <c r="S68" s="142">
        <v>100</v>
      </c>
      <c r="T68" s="142">
        <v>100</v>
      </c>
      <c r="U68" s="181">
        <v>0</v>
      </c>
      <c r="V68" s="180">
        <v>0</v>
      </c>
      <c r="W68" s="180">
        <v>0</v>
      </c>
      <c r="X68" s="180">
        <v>0</v>
      </c>
      <c r="Y68" s="180">
        <v>0</v>
      </c>
    </row>
    <row r="69" spans="1:25" s="6" customFormat="1" ht="144" x14ac:dyDescent="0.3">
      <c r="A69" s="187" t="s">
        <v>141</v>
      </c>
      <c r="B69" s="188" t="s">
        <v>1135</v>
      </c>
      <c r="C69" s="58" t="s">
        <v>1136</v>
      </c>
      <c r="D69" s="187" t="s">
        <v>139</v>
      </c>
      <c r="E69" s="162" t="s">
        <v>376</v>
      </c>
      <c r="F69" s="192" t="s">
        <v>1142</v>
      </c>
      <c r="G69" s="160" t="s">
        <v>62</v>
      </c>
      <c r="H69" s="160"/>
      <c r="I69" s="187"/>
      <c r="J69" s="187"/>
      <c r="K69" s="187"/>
      <c r="L69" s="187">
        <v>30</v>
      </c>
      <c r="M69" s="187">
        <v>60</v>
      </c>
      <c r="N69" s="187">
        <v>100</v>
      </c>
      <c r="O69" s="187"/>
      <c r="P69" s="187"/>
      <c r="Q69" s="187"/>
      <c r="R69" s="187"/>
      <c r="S69" s="187"/>
      <c r="T69" s="187"/>
      <c r="U69" s="181">
        <v>28000</v>
      </c>
      <c r="V69" s="180">
        <v>0</v>
      </c>
      <c r="W69" s="180">
        <v>0</v>
      </c>
      <c r="X69" s="180">
        <v>0</v>
      </c>
      <c r="Y69" s="180">
        <v>0</v>
      </c>
    </row>
    <row r="70" spans="1:25" s="11" customFormat="1" ht="120" x14ac:dyDescent="0.25">
      <c r="A70" s="187" t="s">
        <v>1083</v>
      </c>
      <c r="B70" s="168" t="s">
        <v>1078</v>
      </c>
      <c r="C70" s="167" t="s">
        <v>1079</v>
      </c>
      <c r="D70" s="162" t="s">
        <v>1126</v>
      </c>
      <c r="E70" s="162" t="s">
        <v>353</v>
      </c>
      <c r="F70" s="158" t="s">
        <v>1081</v>
      </c>
      <c r="G70" s="160" t="s">
        <v>1090</v>
      </c>
      <c r="H70" s="160"/>
      <c r="I70" s="59"/>
      <c r="J70" s="59">
        <f t="shared" ref="J70:T70" si="1">533000/180928</f>
        <v>2.9459232401839404</v>
      </c>
      <c r="K70" s="59">
        <f t="shared" si="1"/>
        <v>2.9459232401839404</v>
      </c>
      <c r="L70" s="59">
        <f t="shared" si="1"/>
        <v>2.9459232401839404</v>
      </c>
      <c r="M70" s="59">
        <f t="shared" si="1"/>
        <v>2.9459232401839404</v>
      </c>
      <c r="N70" s="59">
        <f t="shared" si="1"/>
        <v>2.9459232401839404</v>
      </c>
      <c r="O70" s="59">
        <f t="shared" si="1"/>
        <v>2.9459232401839404</v>
      </c>
      <c r="P70" s="59">
        <f t="shared" si="1"/>
        <v>2.9459232401839404</v>
      </c>
      <c r="Q70" s="59">
        <f t="shared" si="1"/>
        <v>2.9459232401839404</v>
      </c>
      <c r="R70" s="59">
        <f t="shared" si="1"/>
        <v>2.9459232401839404</v>
      </c>
      <c r="S70" s="59">
        <f t="shared" si="1"/>
        <v>2.9459232401839404</v>
      </c>
      <c r="T70" s="59">
        <f t="shared" si="1"/>
        <v>2.9459232401839404</v>
      </c>
      <c r="U70" s="181">
        <v>16000</v>
      </c>
      <c r="V70" s="180">
        <v>2600</v>
      </c>
      <c r="W70" s="180">
        <v>13400</v>
      </c>
      <c r="X70" s="180">
        <v>0</v>
      </c>
      <c r="Y70" s="180">
        <v>0</v>
      </c>
    </row>
    <row r="71" spans="1:25" s="11" customFormat="1" ht="67.5" customHeight="1" x14ac:dyDescent="0.25">
      <c r="A71" s="187" t="s">
        <v>1084</v>
      </c>
      <c r="B71" s="168" t="s">
        <v>1080</v>
      </c>
      <c r="C71" s="167" t="s">
        <v>1273</v>
      </c>
      <c r="D71" s="187" t="s">
        <v>139</v>
      </c>
      <c r="E71" s="187" t="s">
        <v>52</v>
      </c>
      <c r="F71" s="158" t="s">
        <v>1082</v>
      </c>
      <c r="G71" s="187" t="s">
        <v>62</v>
      </c>
      <c r="H71" s="160"/>
      <c r="I71" s="60">
        <f>25000/770200*100</f>
        <v>3.2459101532069594</v>
      </c>
      <c r="J71" s="60">
        <f t="shared" ref="J71:T71" si="2">25000/770200*100</f>
        <v>3.2459101532069594</v>
      </c>
      <c r="K71" s="60">
        <f t="shared" si="2"/>
        <v>3.2459101532069594</v>
      </c>
      <c r="L71" s="60">
        <f t="shared" si="2"/>
        <v>3.2459101532069594</v>
      </c>
      <c r="M71" s="60">
        <f t="shared" si="2"/>
        <v>3.2459101532069594</v>
      </c>
      <c r="N71" s="60">
        <f t="shared" si="2"/>
        <v>3.2459101532069594</v>
      </c>
      <c r="O71" s="60">
        <f t="shared" si="2"/>
        <v>3.2459101532069594</v>
      </c>
      <c r="P71" s="60">
        <f t="shared" si="2"/>
        <v>3.2459101532069594</v>
      </c>
      <c r="Q71" s="60">
        <f t="shared" si="2"/>
        <v>3.2459101532069594</v>
      </c>
      <c r="R71" s="60">
        <f t="shared" si="2"/>
        <v>3.2459101532069594</v>
      </c>
      <c r="S71" s="60">
        <f t="shared" si="2"/>
        <v>3.2459101532069594</v>
      </c>
      <c r="T71" s="60">
        <f t="shared" si="2"/>
        <v>3.2459101532069594</v>
      </c>
      <c r="U71" s="181">
        <v>42840</v>
      </c>
      <c r="V71" s="180">
        <v>42840</v>
      </c>
      <c r="W71" s="180">
        <v>0</v>
      </c>
      <c r="X71" s="180">
        <v>0</v>
      </c>
      <c r="Y71" s="180">
        <v>0</v>
      </c>
    </row>
    <row r="72" spans="1:25" s="4" customFormat="1" ht="72" x14ac:dyDescent="0.3">
      <c r="A72" s="862" t="s">
        <v>1092</v>
      </c>
      <c r="B72" s="839" t="s">
        <v>142</v>
      </c>
      <c r="C72" s="843" t="s">
        <v>1215</v>
      </c>
      <c r="D72" s="714" t="s">
        <v>1127</v>
      </c>
      <c r="E72" s="853" t="s">
        <v>143</v>
      </c>
      <c r="F72" s="61" t="s">
        <v>145</v>
      </c>
      <c r="G72" s="183" t="s">
        <v>146</v>
      </c>
      <c r="H72" s="193">
        <v>0.35</v>
      </c>
      <c r="I72" s="59">
        <v>0.34</v>
      </c>
      <c r="J72" s="59">
        <v>0.36</v>
      </c>
      <c r="K72" s="59">
        <v>0.36</v>
      </c>
      <c r="L72" s="59">
        <v>0.36</v>
      </c>
      <c r="M72" s="59">
        <v>0.36</v>
      </c>
      <c r="N72" s="59">
        <v>0.37</v>
      </c>
      <c r="O72" s="59">
        <v>0.38</v>
      </c>
      <c r="P72" s="59">
        <v>0.38</v>
      </c>
      <c r="Q72" s="59">
        <v>0.38</v>
      </c>
      <c r="R72" s="59">
        <v>0.39</v>
      </c>
      <c r="S72" s="59">
        <v>0.39</v>
      </c>
      <c r="T72" s="59">
        <v>0.4</v>
      </c>
      <c r="U72" s="855">
        <v>712599.3</v>
      </c>
      <c r="V72" s="835">
        <v>9599.2999999999993</v>
      </c>
      <c r="W72" s="835">
        <v>0</v>
      </c>
      <c r="X72" s="835">
        <v>0</v>
      </c>
      <c r="Y72" s="835">
        <v>353000</v>
      </c>
    </row>
    <row r="73" spans="1:25" s="4" customFormat="1" ht="72" x14ac:dyDescent="0.3">
      <c r="A73" s="869"/>
      <c r="B73" s="856"/>
      <c r="C73" s="839"/>
      <c r="D73" s="748"/>
      <c r="E73" s="854"/>
      <c r="F73" s="62" t="s">
        <v>1412</v>
      </c>
      <c r="G73" s="184" t="s">
        <v>31</v>
      </c>
      <c r="H73" s="148">
        <v>3.4</v>
      </c>
      <c r="I73" s="63">
        <v>3.7</v>
      </c>
      <c r="J73" s="63">
        <v>3.9</v>
      </c>
      <c r="K73" s="63">
        <v>4</v>
      </c>
      <c r="L73" s="63">
        <v>4.0999999999999996</v>
      </c>
      <c r="M73" s="63">
        <v>4.2</v>
      </c>
      <c r="N73" s="63">
        <v>4.3</v>
      </c>
      <c r="O73" s="63">
        <v>4.4000000000000004</v>
      </c>
      <c r="P73" s="63">
        <v>4.5</v>
      </c>
      <c r="Q73" s="63">
        <v>4.5999999999999996</v>
      </c>
      <c r="R73" s="63">
        <v>4.7</v>
      </c>
      <c r="S73" s="63">
        <v>4.8</v>
      </c>
      <c r="T73" s="63">
        <v>4.9000000000000004</v>
      </c>
      <c r="U73" s="855"/>
      <c r="V73" s="835"/>
      <c r="W73" s="835"/>
      <c r="X73" s="835"/>
      <c r="Y73" s="835"/>
    </row>
    <row r="74" spans="1:25" s="4" customFormat="1" ht="120" x14ac:dyDescent="0.3">
      <c r="A74" s="64" t="s">
        <v>1250</v>
      </c>
      <c r="B74" s="189" t="s">
        <v>1089</v>
      </c>
      <c r="C74" s="188" t="s">
        <v>1274</v>
      </c>
      <c r="D74" s="187" t="s">
        <v>139</v>
      </c>
      <c r="E74" s="187" t="s">
        <v>1087</v>
      </c>
      <c r="F74" s="192" t="s">
        <v>1085</v>
      </c>
      <c r="G74" s="187" t="s">
        <v>31</v>
      </c>
      <c r="H74" s="187"/>
      <c r="I74" s="59"/>
      <c r="J74" s="59"/>
      <c r="K74" s="59"/>
      <c r="L74" s="59">
        <f>500/181620*1000</f>
        <v>2.7530007708402158</v>
      </c>
      <c r="M74" s="59">
        <f>550/181967*1000</f>
        <v>3.0225260624179109</v>
      </c>
      <c r="N74" s="59">
        <f>560/182314*1000</f>
        <v>3.0716236822185903</v>
      </c>
      <c r="O74" s="59">
        <f>600/182662*1000</f>
        <v>3.2847554499567506</v>
      </c>
      <c r="P74" s="59">
        <f>600/183011*1000</f>
        <v>3.2784914567976786</v>
      </c>
      <c r="Q74" s="59">
        <f>650/183361*1000</f>
        <v>3.5449195848626478</v>
      </c>
      <c r="R74" s="59">
        <f>650/183361*1000</f>
        <v>3.5449195848626478</v>
      </c>
      <c r="S74" s="59">
        <f>700/184062*1000</f>
        <v>3.8030663580749966</v>
      </c>
      <c r="T74" s="59">
        <f>700/184413*1000</f>
        <v>3.7958278429394889</v>
      </c>
      <c r="U74" s="181">
        <v>2808</v>
      </c>
      <c r="V74" s="180">
        <v>0</v>
      </c>
      <c r="W74" s="180">
        <v>0</v>
      </c>
      <c r="X74" s="180">
        <v>0</v>
      </c>
      <c r="Y74" s="180">
        <v>2808</v>
      </c>
    </row>
    <row r="75" spans="1:25" s="4" customFormat="1" ht="264" x14ac:dyDescent="0.3">
      <c r="A75" s="64" t="s">
        <v>1093</v>
      </c>
      <c r="B75" s="189" t="s">
        <v>1091</v>
      </c>
      <c r="C75" s="188" t="s">
        <v>1274</v>
      </c>
      <c r="D75" s="187" t="s">
        <v>1086</v>
      </c>
      <c r="E75" s="187" t="s">
        <v>52</v>
      </c>
      <c r="F75" s="192" t="s">
        <v>1085</v>
      </c>
      <c r="G75" s="187" t="s">
        <v>31</v>
      </c>
      <c r="H75" s="187"/>
      <c r="I75" s="59">
        <f>252/180583*1000</f>
        <v>1.3954801947027129</v>
      </c>
      <c r="J75" s="59">
        <f>400/180928*1000</f>
        <v>2.2108241952599927</v>
      </c>
      <c r="K75" s="59">
        <f>450/181274*1000</f>
        <v>2.4824299127287976</v>
      </c>
      <c r="L75" s="59">
        <f>500/181620*1000</f>
        <v>2.7530007708402158</v>
      </c>
      <c r="M75" s="59">
        <f>550/181967*1000</f>
        <v>3.0225260624179109</v>
      </c>
      <c r="N75" s="59">
        <f>600/182314*1000</f>
        <v>3.2910253738056321</v>
      </c>
      <c r="O75" s="59">
        <f>650/182662*1000</f>
        <v>3.5584850707864799</v>
      </c>
      <c r="P75" s="59">
        <f>700/183011*1000</f>
        <v>3.824906699597292</v>
      </c>
      <c r="Q75" s="59">
        <f>750/183361*1000</f>
        <v>4.090291828687671</v>
      </c>
      <c r="R75" s="59">
        <f>800/183361*1000</f>
        <v>4.3629779506001825</v>
      </c>
      <c r="S75" s="59">
        <f>850/184062*1000</f>
        <v>4.6180091490910673</v>
      </c>
      <c r="T75" s="59">
        <f>900/184413*1000</f>
        <v>4.8803500837793434</v>
      </c>
      <c r="U75" s="181">
        <v>3000</v>
      </c>
      <c r="V75" s="180">
        <v>0</v>
      </c>
      <c r="W75" s="180">
        <v>0</v>
      </c>
      <c r="X75" s="180">
        <v>0</v>
      </c>
      <c r="Y75" s="180">
        <v>3000</v>
      </c>
    </row>
    <row r="76" spans="1:25" s="3" customFormat="1" ht="288" x14ac:dyDescent="0.3">
      <c r="A76" s="37" t="s">
        <v>148</v>
      </c>
      <c r="B76" s="953" t="s">
        <v>149</v>
      </c>
      <c r="C76" s="954"/>
      <c r="D76" s="954"/>
      <c r="E76" s="954"/>
      <c r="F76" s="120" t="s">
        <v>147</v>
      </c>
      <c r="G76" s="121" t="s">
        <v>62</v>
      </c>
      <c r="H76" s="122">
        <v>87.6</v>
      </c>
      <c r="I76" s="123">
        <v>86.44</v>
      </c>
      <c r="J76" s="122">
        <v>94.6</v>
      </c>
      <c r="K76" s="122">
        <v>94.8</v>
      </c>
      <c r="L76" s="123">
        <v>95</v>
      </c>
      <c r="M76" s="122">
        <v>95.5</v>
      </c>
      <c r="N76" s="123">
        <v>96</v>
      </c>
      <c r="O76" s="122">
        <v>96.4</v>
      </c>
      <c r="P76" s="122">
        <v>96.8</v>
      </c>
      <c r="Q76" s="123">
        <v>97</v>
      </c>
      <c r="R76" s="122">
        <v>97.5</v>
      </c>
      <c r="S76" s="122">
        <v>97.8</v>
      </c>
      <c r="T76" s="122">
        <v>98.1</v>
      </c>
      <c r="U76" s="51"/>
      <c r="V76" s="52"/>
      <c r="W76" s="52"/>
      <c r="X76" s="52"/>
      <c r="Y76" s="52"/>
    </row>
    <row r="77" spans="1:25" s="6" customFormat="1" ht="144" x14ac:dyDescent="0.3">
      <c r="A77" s="53" t="s">
        <v>150</v>
      </c>
      <c r="B77" s="188" t="s">
        <v>151</v>
      </c>
      <c r="C77" s="188" t="s">
        <v>1275</v>
      </c>
      <c r="D77" s="187" t="s">
        <v>1224</v>
      </c>
      <c r="E77" s="43" t="s">
        <v>152</v>
      </c>
      <c r="F77" s="192" t="s">
        <v>153</v>
      </c>
      <c r="G77" s="187" t="s">
        <v>74</v>
      </c>
      <c r="H77" s="43"/>
      <c r="I77" s="100">
        <v>1352</v>
      </c>
      <c r="J77" s="100">
        <v>1352</v>
      </c>
      <c r="K77" s="100">
        <v>1352</v>
      </c>
      <c r="L77" s="100">
        <v>1352</v>
      </c>
      <c r="M77" s="100">
        <v>1352</v>
      </c>
      <c r="N77" s="100">
        <v>1352</v>
      </c>
      <c r="O77" s="100">
        <v>1352</v>
      </c>
      <c r="P77" s="100">
        <v>1352</v>
      </c>
      <c r="Q77" s="100">
        <v>1352</v>
      </c>
      <c r="R77" s="100">
        <v>1352</v>
      </c>
      <c r="S77" s="100">
        <v>1352</v>
      </c>
      <c r="T77" s="100">
        <v>1352</v>
      </c>
      <c r="U77" s="181">
        <v>5857.1</v>
      </c>
      <c r="V77" s="180">
        <v>0</v>
      </c>
      <c r="W77" s="180">
        <v>4808.8999999999996</v>
      </c>
      <c r="X77" s="180">
        <v>0</v>
      </c>
      <c r="Y77" s="180">
        <v>1048.2</v>
      </c>
    </row>
    <row r="78" spans="1:25" s="4" customFormat="1" ht="144" x14ac:dyDescent="0.3">
      <c r="A78" s="195" t="s">
        <v>154</v>
      </c>
      <c r="B78" s="182" t="s">
        <v>155</v>
      </c>
      <c r="C78" s="182" t="s">
        <v>1276</v>
      </c>
      <c r="D78" s="193" t="s">
        <v>1133</v>
      </c>
      <c r="E78" s="43" t="s">
        <v>52</v>
      </c>
      <c r="F78" s="192" t="s">
        <v>153</v>
      </c>
      <c r="G78" s="187" t="s">
        <v>74</v>
      </c>
      <c r="H78" s="50"/>
      <c r="I78" s="65">
        <v>4500</v>
      </c>
      <c r="J78" s="65">
        <v>4500</v>
      </c>
      <c r="K78" s="65">
        <v>4650</v>
      </c>
      <c r="L78" s="65">
        <v>4800</v>
      </c>
      <c r="M78" s="65">
        <v>4950</v>
      </c>
      <c r="N78" s="65">
        <v>5100</v>
      </c>
      <c r="O78" s="65">
        <v>5250</v>
      </c>
      <c r="P78" s="65">
        <v>5400</v>
      </c>
      <c r="Q78" s="65">
        <v>5550</v>
      </c>
      <c r="R78" s="65">
        <v>5700</v>
      </c>
      <c r="S78" s="65">
        <v>5850</v>
      </c>
      <c r="T78" s="65">
        <v>6000</v>
      </c>
      <c r="U78" s="181">
        <v>4000</v>
      </c>
      <c r="V78" s="180">
        <v>0</v>
      </c>
      <c r="W78" s="180">
        <v>0</v>
      </c>
      <c r="X78" s="180">
        <v>0</v>
      </c>
      <c r="Y78" s="180">
        <v>4000</v>
      </c>
    </row>
    <row r="79" spans="1:25" s="4" customFormat="1" ht="144" x14ac:dyDescent="0.3">
      <c r="A79" s="195" t="s">
        <v>156</v>
      </c>
      <c r="B79" s="182" t="s">
        <v>157</v>
      </c>
      <c r="C79" s="182" t="s">
        <v>1276</v>
      </c>
      <c r="D79" s="193" t="s">
        <v>1133</v>
      </c>
      <c r="E79" s="43" t="s">
        <v>52</v>
      </c>
      <c r="F79" s="192" t="s">
        <v>153</v>
      </c>
      <c r="G79" s="187" t="s">
        <v>74</v>
      </c>
      <c r="H79" s="50"/>
      <c r="I79" s="65">
        <v>4500</v>
      </c>
      <c r="J79" s="65">
        <v>4500</v>
      </c>
      <c r="K79" s="65">
        <v>4650</v>
      </c>
      <c r="L79" s="65">
        <v>4800</v>
      </c>
      <c r="M79" s="65">
        <v>4950</v>
      </c>
      <c r="N79" s="65">
        <v>5100</v>
      </c>
      <c r="O79" s="65">
        <v>5250</v>
      </c>
      <c r="P79" s="65">
        <v>5400</v>
      </c>
      <c r="Q79" s="65">
        <v>5550</v>
      </c>
      <c r="R79" s="65">
        <v>5700</v>
      </c>
      <c r="S79" s="65">
        <v>5850</v>
      </c>
      <c r="T79" s="65">
        <v>6000</v>
      </c>
      <c r="U79" s="181">
        <v>6000</v>
      </c>
      <c r="V79" s="180">
        <v>0</v>
      </c>
      <c r="W79" s="180">
        <v>0</v>
      </c>
      <c r="X79" s="180">
        <v>0</v>
      </c>
      <c r="Y79" s="180">
        <v>6000</v>
      </c>
    </row>
    <row r="80" spans="1:25" s="4" customFormat="1" ht="144" x14ac:dyDescent="0.3">
      <c r="A80" s="195" t="s">
        <v>158</v>
      </c>
      <c r="B80" s="182" t="s">
        <v>161</v>
      </c>
      <c r="C80" s="182" t="s">
        <v>1276</v>
      </c>
      <c r="D80" s="193" t="s">
        <v>1133</v>
      </c>
      <c r="E80" s="43" t="s">
        <v>52</v>
      </c>
      <c r="F80" s="192" t="s">
        <v>153</v>
      </c>
      <c r="G80" s="187" t="s">
        <v>74</v>
      </c>
      <c r="H80" s="50"/>
      <c r="I80" s="65">
        <v>8000</v>
      </c>
      <c r="J80" s="65">
        <v>8000</v>
      </c>
      <c r="K80" s="65">
        <v>8200</v>
      </c>
      <c r="L80" s="65">
        <v>8400</v>
      </c>
      <c r="M80" s="65">
        <v>8600</v>
      </c>
      <c r="N80" s="65">
        <v>8800</v>
      </c>
      <c r="O80" s="65">
        <v>9000</v>
      </c>
      <c r="P80" s="65">
        <v>9200</v>
      </c>
      <c r="Q80" s="65">
        <v>9400</v>
      </c>
      <c r="R80" s="65">
        <v>9600</v>
      </c>
      <c r="S80" s="65">
        <v>9800</v>
      </c>
      <c r="T80" s="65">
        <v>10000</v>
      </c>
      <c r="U80" s="181">
        <v>30000</v>
      </c>
      <c r="V80" s="180">
        <v>0</v>
      </c>
      <c r="W80" s="180">
        <v>0</v>
      </c>
      <c r="X80" s="180">
        <v>0</v>
      </c>
      <c r="Y80" s="180">
        <v>30000</v>
      </c>
    </row>
    <row r="81" spans="1:25" s="4" customFormat="1" ht="144" x14ac:dyDescent="0.3">
      <c r="A81" s="195" t="s">
        <v>160</v>
      </c>
      <c r="B81" s="182" t="s">
        <v>163</v>
      </c>
      <c r="C81" s="175" t="s">
        <v>164</v>
      </c>
      <c r="D81" s="193" t="s">
        <v>98</v>
      </c>
      <c r="E81" s="43" t="s">
        <v>52</v>
      </c>
      <c r="F81" s="61" t="s">
        <v>1225</v>
      </c>
      <c r="G81" s="183" t="s">
        <v>117</v>
      </c>
      <c r="H81" s="50"/>
      <c r="I81" s="43" t="s">
        <v>118</v>
      </c>
      <c r="J81" s="43" t="s">
        <v>118</v>
      </c>
      <c r="K81" s="43" t="s">
        <v>118</v>
      </c>
      <c r="L81" s="43" t="s">
        <v>118</v>
      </c>
      <c r="M81" s="43" t="s">
        <v>118</v>
      </c>
      <c r="N81" s="43" t="s">
        <v>118</v>
      </c>
      <c r="O81" s="43" t="s">
        <v>118</v>
      </c>
      <c r="P81" s="43" t="s">
        <v>118</v>
      </c>
      <c r="Q81" s="43" t="s">
        <v>118</v>
      </c>
      <c r="R81" s="43" t="s">
        <v>118</v>
      </c>
      <c r="S81" s="43" t="s">
        <v>118</v>
      </c>
      <c r="T81" s="43" t="s">
        <v>118</v>
      </c>
      <c r="U81" s="181">
        <v>720000</v>
      </c>
      <c r="V81" s="180">
        <v>0</v>
      </c>
      <c r="W81" s="180">
        <v>0</v>
      </c>
      <c r="X81" s="180">
        <v>0</v>
      </c>
      <c r="Y81" s="180">
        <v>720000</v>
      </c>
    </row>
    <row r="82" spans="1:25" s="4" customFormat="1" ht="168" x14ac:dyDescent="0.3">
      <c r="A82" s="195" t="s">
        <v>162</v>
      </c>
      <c r="B82" s="188" t="s">
        <v>165</v>
      </c>
      <c r="C82" s="167" t="s">
        <v>1223</v>
      </c>
      <c r="D82" s="193" t="s">
        <v>166</v>
      </c>
      <c r="E82" s="147" t="s">
        <v>167</v>
      </c>
      <c r="F82" s="192" t="s">
        <v>834</v>
      </c>
      <c r="G82" s="187" t="s">
        <v>74</v>
      </c>
      <c r="H82" s="124">
        <v>8</v>
      </c>
      <c r="I82" s="187">
        <v>8.5</v>
      </c>
      <c r="J82" s="187">
        <v>8.5</v>
      </c>
      <c r="K82" s="187">
        <v>8.5</v>
      </c>
      <c r="L82" s="187">
        <v>8.5</v>
      </c>
      <c r="M82" s="187">
        <v>8.5</v>
      </c>
      <c r="N82" s="187">
        <v>8.5</v>
      </c>
      <c r="O82" s="187">
        <v>8.6</v>
      </c>
      <c r="P82" s="187">
        <v>8.6</v>
      </c>
      <c r="Q82" s="187">
        <v>8.6</v>
      </c>
      <c r="R82" s="187">
        <v>8.6999999999999993</v>
      </c>
      <c r="S82" s="187">
        <v>8.6999999999999993</v>
      </c>
      <c r="T82" s="187">
        <v>8.8000000000000007</v>
      </c>
      <c r="U82" s="181">
        <v>384621.2</v>
      </c>
      <c r="V82" s="180">
        <v>0</v>
      </c>
      <c r="W82" s="180">
        <v>0</v>
      </c>
      <c r="X82" s="180">
        <v>0</v>
      </c>
      <c r="Y82" s="180">
        <v>0</v>
      </c>
    </row>
    <row r="83" spans="1:25" s="4" customFormat="1" ht="168" x14ac:dyDescent="0.3">
      <c r="A83" s="151" t="s">
        <v>832</v>
      </c>
      <c r="B83" s="158" t="s">
        <v>856</v>
      </c>
      <c r="C83" s="158" t="s">
        <v>857</v>
      </c>
      <c r="D83" s="148" t="s">
        <v>139</v>
      </c>
      <c r="E83" s="146" t="s">
        <v>43</v>
      </c>
      <c r="F83" s="192" t="s">
        <v>1228</v>
      </c>
      <c r="G83" s="162" t="s">
        <v>74</v>
      </c>
      <c r="H83" s="187"/>
      <c r="I83" s="124"/>
      <c r="J83" s="187"/>
      <c r="K83" s="187"/>
      <c r="L83" s="124"/>
      <c r="M83" s="187"/>
      <c r="N83" s="124"/>
      <c r="O83" s="187"/>
      <c r="P83" s="187"/>
      <c r="Q83" s="124"/>
      <c r="R83" s="187"/>
      <c r="S83" s="187"/>
      <c r="T83" s="124">
        <f>4*1200*12/184413*100</f>
        <v>31.234240536187798</v>
      </c>
      <c r="U83" s="157">
        <v>1500000</v>
      </c>
      <c r="V83" s="144">
        <v>0</v>
      </c>
      <c r="W83" s="144">
        <v>0</v>
      </c>
      <c r="X83" s="144">
        <v>0</v>
      </c>
      <c r="Y83" s="144">
        <v>0</v>
      </c>
    </row>
    <row r="84" spans="1:25" ht="24" x14ac:dyDescent="0.3">
      <c r="A84" s="66" t="s">
        <v>168</v>
      </c>
      <c r="B84" s="927" t="s">
        <v>169</v>
      </c>
      <c r="C84" s="927"/>
      <c r="D84" s="927"/>
      <c r="E84" s="927"/>
      <c r="F84" s="927"/>
      <c r="G84" s="927"/>
      <c r="H84" s="927"/>
      <c r="I84" s="927"/>
      <c r="J84" s="927"/>
      <c r="K84" s="927"/>
      <c r="L84" s="927"/>
      <c r="M84" s="927"/>
      <c r="N84" s="927"/>
      <c r="O84" s="927"/>
      <c r="P84" s="927"/>
      <c r="Q84" s="927"/>
      <c r="R84" s="927"/>
      <c r="S84" s="927"/>
      <c r="T84" s="927"/>
      <c r="U84" s="51"/>
      <c r="V84" s="52"/>
      <c r="W84" s="52"/>
      <c r="X84" s="52"/>
      <c r="Y84" s="52"/>
    </row>
    <row r="85" spans="1:25" s="4" customFormat="1" ht="102.75" customHeight="1" x14ac:dyDescent="0.3">
      <c r="A85" s="858" t="s">
        <v>833</v>
      </c>
      <c r="B85" s="866" t="s">
        <v>171</v>
      </c>
      <c r="C85" s="188" t="s">
        <v>1277</v>
      </c>
      <c r="D85" s="193" t="s">
        <v>139</v>
      </c>
      <c r="E85" s="43" t="s">
        <v>52</v>
      </c>
      <c r="F85" s="61" t="s">
        <v>172</v>
      </c>
      <c r="G85" s="187" t="s">
        <v>74</v>
      </c>
      <c r="H85" s="193"/>
      <c r="I85" s="187">
        <v>1000</v>
      </c>
      <c r="J85" s="187">
        <v>1000</v>
      </c>
      <c r="K85" s="187">
        <v>1000</v>
      </c>
      <c r="L85" s="187">
        <v>1500</v>
      </c>
      <c r="M85" s="187">
        <v>1500</v>
      </c>
      <c r="N85" s="187">
        <v>1500</v>
      </c>
      <c r="O85" s="187">
        <v>2000</v>
      </c>
      <c r="P85" s="187">
        <v>2000</v>
      </c>
      <c r="Q85" s="187">
        <v>2000</v>
      </c>
      <c r="R85" s="187">
        <v>2500</v>
      </c>
      <c r="S85" s="187">
        <v>2500</v>
      </c>
      <c r="T85" s="187">
        <v>2500</v>
      </c>
      <c r="U85" s="773">
        <v>1603.4999999999998</v>
      </c>
      <c r="V85" s="791">
        <v>306.60000000000002</v>
      </c>
      <c r="W85" s="791">
        <v>0</v>
      </c>
      <c r="X85" s="791">
        <v>0</v>
      </c>
      <c r="Y85" s="791">
        <v>0</v>
      </c>
    </row>
    <row r="86" spans="1:25" s="4" customFormat="1" ht="129.75" customHeight="1" x14ac:dyDescent="0.3">
      <c r="A86" s="858"/>
      <c r="B86" s="866"/>
      <c r="C86" s="188" t="s">
        <v>1278</v>
      </c>
      <c r="D86" s="193" t="s">
        <v>139</v>
      </c>
      <c r="E86" s="43" t="s">
        <v>52</v>
      </c>
      <c r="F86" s="61" t="s">
        <v>172</v>
      </c>
      <c r="G86" s="187" t="s">
        <v>74</v>
      </c>
      <c r="H86" s="193"/>
      <c r="I86" s="187">
        <v>1500</v>
      </c>
      <c r="J86" s="187">
        <v>1500</v>
      </c>
      <c r="K86" s="187">
        <v>1500</v>
      </c>
      <c r="L86" s="187">
        <v>1500</v>
      </c>
      <c r="M86" s="187">
        <v>1500</v>
      </c>
      <c r="N86" s="187">
        <v>1500</v>
      </c>
      <c r="O86" s="187">
        <v>2000</v>
      </c>
      <c r="P86" s="187">
        <v>2000</v>
      </c>
      <c r="Q86" s="187">
        <v>2000</v>
      </c>
      <c r="R86" s="187">
        <v>2000</v>
      </c>
      <c r="S86" s="187">
        <v>2000</v>
      </c>
      <c r="T86" s="187">
        <v>2000</v>
      </c>
      <c r="U86" s="774"/>
      <c r="V86" s="792"/>
      <c r="W86" s="792"/>
      <c r="X86" s="792"/>
      <c r="Y86" s="792"/>
    </row>
    <row r="87" spans="1:25" s="4" customFormat="1" ht="120" x14ac:dyDescent="0.3">
      <c r="A87" s="728" t="s">
        <v>170</v>
      </c>
      <c r="B87" s="861" t="s">
        <v>173</v>
      </c>
      <c r="C87" s="206" t="s">
        <v>1279</v>
      </c>
      <c r="D87" s="193" t="s">
        <v>139</v>
      </c>
      <c r="E87" s="43" t="s">
        <v>52</v>
      </c>
      <c r="F87" s="61" t="s">
        <v>1143</v>
      </c>
      <c r="G87" s="187" t="s">
        <v>31</v>
      </c>
      <c r="H87" s="193"/>
      <c r="I87" s="187">
        <v>1</v>
      </c>
      <c r="J87" s="187">
        <v>1</v>
      </c>
      <c r="K87" s="187">
        <v>1</v>
      </c>
      <c r="L87" s="187">
        <v>1</v>
      </c>
      <c r="M87" s="187">
        <v>1</v>
      </c>
      <c r="N87" s="187">
        <v>1</v>
      </c>
      <c r="O87" s="187">
        <v>1</v>
      </c>
      <c r="P87" s="187">
        <v>1</v>
      </c>
      <c r="Q87" s="187">
        <v>1</v>
      </c>
      <c r="R87" s="187">
        <v>1</v>
      </c>
      <c r="S87" s="187">
        <v>1</v>
      </c>
      <c r="T87" s="187">
        <v>1</v>
      </c>
      <c r="U87" s="181">
        <v>997.4</v>
      </c>
      <c r="V87" s="180">
        <v>0</v>
      </c>
      <c r="W87" s="180">
        <v>0</v>
      </c>
      <c r="X87" s="180">
        <v>0</v>
      </c>
      <c r="Y87" s="180">
        <v>997.4</v>
      </c>
    </row>
    <row r="88" spans="1:25" s="4" customFormat="1" ht="120" x14ac:dyDescent="0.3">
      <c r="A88" s="729"/>
      <c r="B88" s="866"/>
      <c r="C88" s="167" t="s">
        <v>1280</v>
      </c>
      <c r="D88" s="193" t="s">
        <v>139</v>
      </c>
      <c r="E88" s="43" t="s">
        <v>52</v>
      </c>
      <c r="F88" s="61" t="s">
        <v>1143</v>
      </c>
      <c r="G88" s="187" t="s">
        <v>31</v>
      </c>
      <c r="H88" s="193"/>
      <c r="I88" s="187">
        <v>1</v>
      </c>
      <c r="J88" s="187">
        <v>1</v>
      </c>
      <c r="K88" s="187">
        <v>1</v>
      </c>
      <c r="L88" s="187">
        <v>1</v>
      </c>
      <c r="M88" s="187">
        <v>1</v>
      </c>
      <c r="N88" s="187">
        <v>1</v>
      </c>
      <c r="O88" s="187">
        <v>1</v>
      </c>
      <c r="P88" s="187">
        <v>1</v>
      </c>
      <c r="Q88" s="187">
        <v>1</v>
      </c>
      <c r="R88" s="187">
        <v>1</v>
      </c>
      <c r="S88" s="187">
        <v>1</v>
      </c>
      <c r="T88" s="187">
        <v>1</v>
      </c>
      <c r="U88" s="181">
        <v>729.8</v>
      </c>
      <c r="V88" s="180">
        <v>0</v>
      </c>
      <c r="W88" s="180">
        <v>0</v>
      </c>
      <c r="X88" s="180">
        <v>0</v>
      </c>
      <c r="Y88" s="180">
        <v>729.8</v>
      </c>
    </row>
    <row r="89" spans="1:25" ht="24" x14ac:dyDescent="0.3">
      <c r="A89" s="67" t="s">
        <v>174</v>
      </c>
      <c r="B89" s="946" t="s">
        <v>175</v>
      </c>
      <c r="C89" s="946"/>
      <c r="D89" s="946"/>
      <c r="E89" s="946"/>
      <c r="F89" s="946"/>
      <c r="G89" s="946"/>
      <c r="H89" s="946"/>
      <c r="I89" s="946"/>
      <c r="J89" s="946"/>
      <c r="K89" s="946"/>
      <c r="L89" s="946"/>
      <c r="M89" s="946"/>
      <c r="N89" s="946"/>
      <c r="O89" s="946"/>
      <c r="P89" s="946"/>
      <c r="Q89" s="946"/>
      <c r="R89" s="946"/>
      <c r="S89" s="946"/>
      <c r="T89" s="946"/>
      <c r="U89" s="56"/>
      <c r="V89" s="57"/>
      <c r="W89" s="57"/>
      <c r="X89" s="57"/>
      <c r="Y89" s="57"/>
    </row>
    <row r="90" spans="1:25" ht="24" x14ac:dyDescent="0.3">
      <c r="A90" s="66" t="s">
        <v>176</v>
      </c>
      <c r="B90" s="927" t="s">
        <v>177</v>
      </c>
      <c r="C90" s="927"/>
      <c r="D90" s="927"/>
      <c r="E90" s="927"/>
      <c r="F90" s="927"/>
      <c r="G90" s="927"/>
      <c r="H90" s="927"/>
      <c r="I90" s="927"/>
      <c r="J90" s="927"/>
      <c r="K90" s="927"/>
      <c r="L90" s="927"/>
      <c r="M90" s="927"/>
      <c r="N90" s="927"/>
      <c r="O90" s="927"/>
      <c r="P90" s="927"/>
      <c r="Q90" s="927"/>
      <c r="R90" s="927"/>
      <c r="S90" s="927"/>
      <c r="T90" s="927"/>
      <c r="U90" s="51"/>
      <c r="V90" s="52"/>
      <c r="W90" s="52"/>
      <c r="X90" s="52"/>
      <c r="Y90" s="52"/>
    </row>
    <row r="91" spans="1:25" ht="24" x14ac:dyDescent="0.3">
      <c r="A91" s="66" t="s">
        <v>178</v>
      </c>
      <c r="B91" s="191" t="s">
        <v>179</v>
      </c>
      <c r="C91" s="163"/>
      <c r="D91" s="68"/>
      <c r="E91" s="68"/>
      <c r="F91" s="179"/>
      <c r="G91" s="68"/>
      <c r="H91" s="68"/>
      <c r="I91" s="68"/>
      <c r="J91" s="68"/>
      <c r="K91" s="68"/>
      <c r="L91" s="68"/>
      <c r="M91" s="68"/>
      <c r="N91" s="68"/>
      <c r="O91" s="68"/>
      <c r="P91" s="68"/>
      <c r="Q91" s="68"/>
      <c r="R91" s="68"/>
      <c r="S91" s="68"/>
      <c r="T91" s="68"/>
      <c r="U91" s="51"/>
      <c r="V91" s="52"/>
      <c r="W91" s="52"/>
      <c r="X91" s="52"/>
      <c r="Y91" s="52"/>
    </row>
    <row r="92" spans="1:25" ht="24" x14ac:dyDescent="0.3">
      <c r="A92" s="66" t="s">
        <v>180</v>
      </c>
      <c r="B92" s="927" t="s">
        <v>181</v>
      </c>
      <c r="C92" s="927"/>
      <c r="D92" s="927"/>
      <c r="E92" s="927"/>
      <c r="F92" s="927"/>
      <c r="G92" s="927"/>
      <c r="H92" s="927"/>
      <c r="I92" s="927"/>
      <c r="J92" s="927"/>
      <c r="K92" s="927"/>
      <c r="L92" s="927"/>
      <c r="M92" s="927"/>
      <c r="N92" s="927"/>
      <c r="O92" s="927"/>
      <c r="P92" s="927"/>
      <c r="Q92" s="927"/>
      <c r="R92" s="927"/>
      <c r="S92" s="927"/>
      <c r="T92" s="927"/>
      <c r="U92" s="51"/>
      <c r="V92" s="52"/>
      <c r="W92" s="52"/>
      <c r="X92" s="52"/>
      <c r="Y92" s="52"/>
    </row>
    <row r="93" spans="1:25" ht="24" x14ac:dyDescent="0.3">
      <c r="A93" s="66" t="s">
        <v>182</v>
      </c>
      <c r="B93" s="927" t="s">
        <v>183</v>
      </c>
      <c r="C93" s="927"/>
      <c r="D93" s="927"/>
      <c r="E93" s="927"/>
      <c r="F93" s="927"/>
      <c r="G93" s="927"/>
      <c r="H93" s="927"/>
      <c r="I93" s="927"/>
      <c r="J93" s="927"/>
      <c r="K93" s="927"/>
      <c r="L93" s="927"/>
      <c r="M93" s="927"/>
      <c r="N93" s="927"/>
      <c r="O93" s="927"/>
      <c r="P93" s="927"/>
      <c r="Q93" s="927"/>
      <c r="R93" s="927"/>
      <c r="S93" s="927"/>
      <c r="T93" s="927"/>
      <c r="U93" s="51"/>
      <c r="V93" s="52"/>
      <c r="W93" s="52"/>
      <c r="X93" s="52"/>
      <c r="Y93" s="52"/>
    </row>
    <row r="94" spans="1:25" ht="24" x14ac:dyDescent="0.3">
      <c r="A94" s="66" t="s">
        <v>184</v>
      </c>
      <c r="B94" s="927" t="s">
        <v>185</v>
      </c>
      <c r="C94" s="927"/>
      <c r="D94" s="927"/>
      <c r="E94" s="927"/>
      <c r="F94" s="927"/>
      <c r="G94" s="927"/>
      <c r="H94" s="927"/>
      <c r="I94" s="927"/>
      <c r="J94" s="927"/>
      <c r="K94" s="927"/>
      <c r="L94" s="927"/>
      <c r="M94" s="927"/>
      <c r="N94" s="927"/>
      <c r="O94" s="927"/>
      <c r="P94" s="927"/>
      <c r="Q94" s="927"/>
      <c r="R94" s="927"/>
      <c r="S94" s="927"/>
      <c r="T94" s="927"/>
      <c r="U94" s="51"/>
      <c r="V94" s="52"/>
      <c r="W94" s="52"/>
      <c r="X94" s="52"/>
      <c r="Y94" s="52"/>
    </row>
    <row r="95" spans="1:25" ht="24" x14ac:dyDescent="0.3">
      <c r="A95" s="66" t="s">
        <v>186</v>
      </c>
      <c r="B95" s="927" t="s">
        <v>187</v>
      </c>
      <c r="C95" s="927"/>
      <c r="D95" s="927"/>
      <c r="E95" s="927"/>
      <c r="F95" s="927"/>
      <c r="G95" s="927"/>
      <c r="H95" s="927"/>
      <c r="I95" s="927"/>
      <c r="J95" s="927"/>
      <c r="K95" s="927"/>
      <c r="L95" s="927"/>
      <c r="M95" s="927"/>
      <c r="N95" s="927"/>
      <c r="O95" s="927"/>
      <c r="P95" s="927"/>
      <c r="Q95" s="927"/>
      <c r="R95" s="927"/>
      <c r="S95" s="927"/>
      <c r="T95" s="927"/>
      <c r="U95" s="51"/>
      <c r="V95" s="52"/>
      <c r="W95" s="52"/>
      <c r="X95" s="52"/>
      <c r="Y95" s="52"/>
    </row>
    <row r="96" spans="1:25" s="4" customFormat="1" ht="136.5" customHeight="1" x14ac:dyDescent="0.3">
      <c r="A96" s="796" t="s">
        <v>188</v>
      </c>
      <c r="B96" s="830" t="s">
        <v>189</v>
      </c>
      <c r="C96" s="817" t="s">
        <v>1194</v>
      </c>
      <c r="D96" s="728" t="s">
        <v>190</v>
      </c>
      <c r="E96" s="889" t="s">
        <v>52</v>
      </c>
      <c r="F96" s="198" t="s">
        <v>1055</v>
      </c>
      <c r="G96" s="187" t="s">
        <v>74</v>
      </c>
      <c r="H96" s="187">
        <v>139</v>
      </c>
      <c r="I96" s="187">
        <v>70</v>
      </c>
      <c r="J96" s="187">
        <v>70</v>
      </c>
      <c r="K96" s="187">
        <v>70</v>
      </c>
      <c r="L96" s="187">
        <v>70</v>
      </c>
      <c r="M96" s="187">
        <v>70</v>
      </c>
      <c r="N96" s="187">
        <v>70</v>
      </c>
      <c r="O96" s="187">
        <v>70</v>
      </c>
      <c r="P96" s="187">
        <v>70</v>
      </c>
      <c r="Q96" s="187">
        <v>70</v>
      </c>
      <c r="R96" s="187">
        <v>70</v>
      </c>
      <c r="S96" s="187">
        <v>70</v>
      </c>
      <c r="T96" s="187">
        <v>70</v>
      </c>
      <c r="U96" s="855">
        <v>4113703.8000000007</v>
      </c>
      <c r="V96" s="828">
        <v>324277.80000000005</v>
      </c>
      <c r="W96" s="828">
        <v>3789426</v>
      </c>
      <c r="X96" s="828">
        <v>0</v>
      </c>
      <c r="Y96" s="828">
        <v>0</v>
      </c>
    </row>
    <row r="97" spans="1:25" s="4" customFormat="1" ht="172.5" customHeight="1" x14ac:dyDescent="0.3">
      <c r="A97" s="851"/>
      <c r="B97" s="952"/>
      <c r="C97" s="868"/>
      <c r="D97" s="734"/>
      <c r="E97" s="890"/>
      <c r="F97" s="49" t="s">
        <v>1219</v>
      </c>
      <c r="G97" s="69" t="s">
        <v>62</v>
      </c>
      <c r="H97" s="187" t="s">
        <v>140</v>
      </c>
      <c r="I97" s="187">
        <v>17.600000000000001</v>
      </c>
      <c r="J97" s="187">
        <v>17.600000000000001</v>
      </c>
      <c r="K97" s="187">
        <v>17.600000000000001</v>
      </c>
      <c r="L97" s="187">
        <v>17.600000000000001</v>
      </c>
      <c r="M97" s="187">
        <v>17.600000000000001</v>
      </c>
      <c r="N97" s="187">
        <v>17.600000000000001</v>
      </c>
      <c r="O97" s="187">
        <v>17.600000000000001</v>
      </c>
      <c r="P97" s="187">
        <v>17.600000000000001</v>
      </c>
      <c r="Q97" s="187">
        <v>17.600000000000001</v>
      </c>
      <c r="R97" s="187">
        <v>17.600000000000001</v>
      </c>
      <c r="S97" s="187">
        <v>17.600000000000001</v>
      </c>
      <c r="T97" s="187">
        <v>17.600000000000001</v>
      </c>
      <c r="U97" s="855"/>
      <c r="V97" s="828"/>
      <c r="W97" s="828"/>
      <c r="X97" s="828"/>
      <c r="Y97" s="828"/>
    </row>
    <row r="98" spans="1:25" s="4" customFormat="1" ht="106.5" customHeight="1" x14ac:dyDescent="0.3">
      <c r="A98" s="851"/>
      <c r="B98" s="952"/>
      <c r="C98" s="818"/>
      <c r="D98" s="161"/>
      <c r="E98" s="890"/>
      <c r="F98" s="817" t="s">
        <v>191</v>
      </c>
      <c r="G98" s="728" t="s">
        <v>62</v>
      </c>
      <c r="H98" s="728" t="s">
        <v>140</v>
      </c>
      <c r="I98" s="728">
        <v>24</v>
      </c>
      <c r="J98" s="728">
        <v>30</v>
      </c>
      <c r="K98" s="728">
        <v>40</v>
      </c>
      <c r="L98" s="728">
        <v>50</v>
      </c>
      <c r="M98" s="728">
        <v>60</v>
      </c>
      <c r="N98" s="728">
        <v>70</v>
      </c>
      <c r="O98" s="728">
        <v>80</v>
      </c>
      <c r="P98" s="728">
        <v>90</v>
      </c>
      <c r="Q98" s="728">
        <v>90</v>
      </c>
      <c r="R98" s="728">
        <v>90</v>
      </c>
      <c r="S98" s="728">
        <v>90</v>
      </c>
      <c r="T98" s="728">
        <v>90</v>
      </c>
      <c r="U98" s="855"/>
      <c r="V98" s="828"/>
      <c r="W98" s="828"/>
      <c r="X98" s="828"/>
      <c r="Y98" s="828"/>
    </row>
    <row r="99" spans="1:25" s="4" customFormat="1" ht="91.5" customHeight="1" x14ac:dyDescent="0.3">
      <c r="A99" s="797"/>
      <c r="B99" s="831"/>
      <c r="C99" s="159" t="s">
        <v>1281</v>
      </c>
      <c r="D99" s="161"/>
      <c r="E99" s="891"/>
      <c r="F99" s="818"/>
      <c r="G99" s="729"/>
      <c r="H99" s="729"/>
      <c r="I99" s="729"/>
      <c r="J99" s="729"/>
      <c r="K99" s="729"/>
      <c r="L99" s="729"/>
      <c r="M99" s="729"/>
      <c r="N99" s="729"/>
      <c r="O99" s="729"/>
      <c r="P99" s="729"/>
      <c r="Q99" s="729"/>
      <c r="R99" s="729"/>
      <c r="S99" s="729"/>
      <c r="T99" s="729"/>
      <c r="U99" s="181">
        <v>190501.20000000004</v>
      </c>
      <c r="V99" s="180">
        <v>190501.20000000004</v>
      </c>
      <c r="W99" s="180">
        <v>0</v>
      </c>
      <c r="X99" s="180">
        <v>0</v>
      </c>
      <c r="Y99" s="180">
        <v>0</v>
      </c>
    </row>
    <row r="100" spans="1:25" s="4" customFormat="1" ht="240" x14ac:dyDescent="0.3">
      <c r="A100" s="47" t="s">
        <v>1094</v>
      </c>
      <c r="B100" s="189" t="s">
        <v>194</v>
      </c>
      <c r="C100" s="188" t="s">
        <v>1282</v>
      </c>
      <c r="D100" s="187" t="s">
        <v>190</v>
      </c>
      <c r="E100" s="43" t="s">
        <v>52</v>
      </c>
      <c r="F100" s="198" t="s">
        <v>1054</v>
      </c>
      <c r="G100" s="187" t="s">
        <v>342</v>
      </c>
      <c r="H100" s="187">
        <v>4</v>
      </c>
      <c r="I100" s="187">
        <v>7</v>
      </c>
      <c r="J100" s="187">
        <v>7</v>
      </c>
      <c r="K100" s="187">
        <v>7</v>
      </c>
      <c r="L100" s="187">
        <v>7</v>
      </c>
      <c r="M100" s="187">
        <v>7</v>
      </c>
      <c r="N100" s="187">
        <v>7</v>
      </c>
      <c r="O100" s="187">
        <v>8</v>
      </c>
      <c r="P100" s="187">
        <v>8</v>
      </c>
      <c r="Q100" s="187">
        <v>8</v>
      </c>
      <c r="R100" s="187">
        <v>8</v>
      </c>
      <c r="S100" s="187">
        <v>8</v>
      </c>
      <c r="T100" s="187">
        <v>8</v>
      </c>
      <c r="U100" s="181">
        <v>535</v>
      </c>
      <c r="V100" s="180">
        <v>130</v>
      </c>
      <c r="W100" s="180">
        <v>0</v>
      </c>
      <c r="X100" s="180">
        <v>0</v>
      </c>
      <c r="Y100" s="180">
        <v>0</v>
      </c>
    </row>
    <row r="101" spans="1:25" s="4" customFormat="1" ht="120" x14ac:dyDescent="0.3">
      <c r="A101" s="796" t="s">
        <v>193</v>
      </c>
      <c r="B101" s="804" t="s">
        <v>195</v>
      </c>
      <c r="C101" s="188" t="s">
        <v>1283</v>
      </c>
      <c r="D101" s="728" t="s">
        <v>190</v>
      </c>
      <c r="E101" s="889" t="s">
        <v>52</v>
      </c>
      <c r="F101" s="192" t="s">
        <v>196</v>
      </c>
      <c r="G101" s="187" t="s">
        <v>62</v>
      </c>
      <c r="H101" s="187"/>
      <c r="I101" s="187">
        <v>47</v>
      </c>
      <c r="J101" s="187">
        <v>50</v>
      </c>
      <c r="K101" s="187">
        <v>50</v>
      </c>
      <c r="L101" s="187">
        <v>52</v>
      </c>
      <c r="M101" s="187">
        <v>52</v>
      </c>
      <c r="N101" s="187">
        <v>52</v>
      </c>
      <c r="O101" s="187">
        <v>54</v>
      </c>
      <c r="P101" s="187">
        <v>54</v>
      </c>
      <c r="Q101" s="187">
        <v>54</v>
      </c>
      <c r="R101" s="187">
        <v>55</v>
      </c>
      <c r="S101" s="187">
        <v>55</v>
      </c>
      <c r="T101" s="187">
        <v>55</v>
      </c>
      <c r="U101" s="181">
        <v>7713.7999999999993</v>
      </c>
      <c r="V101" s="180">
        <v>1943.0000000000002</v>
      </c>
      <c r="W101" s="180">
        <v>0</v>
      </c>
      <c r="X101" s="180">
        <v>0</v>
      </c>
      <c r="Y101" s="180">
        <v>0</v>
      </c>
    </row>
    <row r="102" spans="1:25" s="4" customFormat="1" ht="72" x14ac:dyDescent="0.3">
      <c r="A102" s="851"/>
      <c r="B102" s="852"/>
      <c r="C102" s="859" t="s">
        <v>1284</v>
      </c>
      <c r="D102" s="734"/>
      <c r="E102" s="890"/>
      <c r="F102" s="192" t="s">
        <v>197</v>
      </c>
      <c r="G102" s="187" t="s">
        <v>74</v>
      </c>
      <c r="H102" s="65">
        <v>58658</v>
      </c>
      <c r="I102" s="65">
        <v>69479</v>
      </c>
      <c r="J102" s="65">
        <v>71691</v>
      </c>
      <c r="K102" s="65">
        <v>75167</v>
      </c>
      <c r="L102" s="65">
        <v>75168</v>
      </c>
      <c r="M102" s="65">
        <v>75320</v>
      </c>
      <c r="N102" s="65">
        <v>75460</v>
      </c>
      <c r="O102" s="65">
        <v>75083</v>
      </c>
      <c r="P102" s="65">
        <v>75810</v>
      </c>
      <c r="Q102" s="65">
        <v>75990</v>
      </c>
      <c r="R102" s="65">
        <v>76128</v>
      </c>
      <c r="S102" s="65">
        <v>76972</v>
      </c>
      <c r="T102" s="65">
        <v>76000</v>
      </c>
      <c r="U102" s="773">
        <v>0</v>
      </c>
      <c r="V102" s="791">
        <v>0</v>
      </c>
      <c r="W102" s="791">
        <v>0</v>
      </c>
      <c r="X102" s="791">
        <v>0</v>
      </c>
      <c r="Y102" s="791">
        <v>0</v>
      </c>
    </row>
    <row r="103" spans="1:25" s="4" customFormat="1" ht="96" x14ac:dyDescent="0.3">
      <c r="A103" s="851"/>
      <c r="B103" s="852"/>
      <c r="C103" s="861"/>
      <c r="D103" s="734"/>
      <c r="E103" s="890"/>
      <c r="F103" s="199" t="s">
        <v>1056</v>
      </c>
      <c r="G103" s="187" t="s">
        <v>62</v>
      </c>
      <c r="H103" s="187">
        <v>34.85</v>
      </c>
      <c r="I103" s="187">
        <v>40.32</v>
      </c>
      <c r="J103" s="187">
        <v>41.6</v>
      </c>
      <c r="K103" s="187">
        <v>43.13</v>
      </c>
      <c r="L103" s="187">
        <v>43.47</v>
      </c>
      <c r="M103" s="187">
        <v>43.48</v>
      </c>
      <c r="N103" s="187">
        <v>43.49</v>
      </c>
      <c r="O103" s="187">
        <v>43.5</v>
      </c>
      <c r="P103" s="187">
        <v>43.55</v>
      </c>
      <c r="Q103" s="187">
        <v>43.58</v>
      </c>
      <c r="R103" s="187">
        <v>43.59</v>
      </c>
      <c r="S103" s="187">
        <v>44</v>
      </c>
      <c r="T103" s="187">
        <v>44.1</v>
      </c>
      <c r="U103" s="774"/>
      <c r="V103" s="792"/>
      <c r="W103" s="792"/>
      <c r="X103" s="792"/>
      <c r="Y103" s="792"/>
    </row>
    <row r="104" spans="1:25" s="4" customFormat="1" ht="168" x14ac:dyDescent="0.3">
      <c r="A104" s="797"/>
      <c r="B104" s="805"/>
      <c r="C104" s="188" t="s">
        <v>1285</v>
      </c>
      <c r="D104" s="729"/>
      <c r="E104" s="891"/>
      <c r="F104" s="192" t="s">
        <v>198</v>
      </c>
      <c r="G104" s="187" t="s">
        <v>62</v>
      </c>
      <c r="H104" s="187">
        <v>8</v>
      </c>
      <c r="I104" s="187">
        <v>9</v>
      </c>
      <c r="J104" s="187">
        <v>8.6999999999999993</v>
      </c>
      <c r="K104" s="187">
        <v>9</v>
      </c>
      <c r="L104" s="187">
        <v>9</v>
      </c>
      <c r="M104" s="187">
        <v>9</v>
      </c>
      <c r="N104" s="187">
        <v>9</v>
      </c>
      <c r="O104" s="187">
        <v>9</v>
      </c>
      <c r="P104" s="187">
        <v>10</v>
      </c>
      <c r="Q104" s="187">
        <v>10</v>
      </c>
      <c r="R104" s="187">
        <v>11</v>
      </c>
      <c r="S104" s="187">
        <v>12</v>
      </c>
      <c r="T104" s="187">
        <v>14</v>
      </c>
      <c r="U104" s="181">
        <v>9456</v>
      </c>
      <c r="V104" s="180">
        <v>9456</v>
      </c>
      <c r="W104" s="180">
        <v>0</v>
      </c>
      <c r="X104" s="180">
        <v>0</v>
      </c>
      <c r="Y104" s="180">
        <v>0</v>
      </c>
    </row>
    <row r="105" spans="1:25" ht="24" x14ac:dyDescent="0.3">
      <c r="A105" s="66" t="s">
        <v>199</v>
      </c>
      <c r="B105" s="927" t="s">
        <v>200</v>
      </c>
      <c r="C105" s="927"/>
      <c r="D105" s="927"/>
      <c r="E105" s="927"/>
      <c r="F105" s="927"/>
      <c r="G105" s="927"/>
      <c r="H105" s="927"/>
      <c r="I105" s="927"/>
      <c r="J105" s="927"/>
      <c r="K105" s="927"/>
      <c r="L105" s="927"/>
      <c r="M105" s="927"/>
      <c r="N105" s="927"/>
      <c r="O105" s="927"/>
      <c r="P105" s="927"/>
      <c r="Q105" s="927"/>
      <c r="R105" s="927"/>
      <c r="S105" s="927"/>
      <c r="T105" s="927"/>
      <c r="U105" s="51"/>
      <c r="V105" s="52"/>
      <c r="W105" s="52"/>
      <c r="X105" s="52"/>
      <c r="Y105" s="52"/>
    </row>
    <row r="106" spans="1:25" s="4" customFormat="1" ht="321" x14ac:dyDescent="0.3">
      <c r="A106" s="47" t="s">
        <v>201</v>
      </c>
      <c r="B106" s="189" t="s">
        <v>1192</v>
      </c>
      <c r="C106" s="182" t="s">
        <v>1199</v>
      </c>
      <c r="D106" s="187" t="s">
        <v>202</v>
      </c>
      <c r="E106" s="187" t="s">
        <v>203</v>
      </c>
      <c r="F106" s="817" t="s">
        <v>1057</v>
      </c>
      <c r="G106" s="728" t="s">
        <v>1120</v>
      </c>
      <c r="H106" s="728" t="s">
        <v>1121</v>
      </c>
      <c r="I106" s="728" t="s">
        <v>1121</v>
      </c>
      <c r="J106" s="728" t="s">
        <v>1122</v>
      </c>
      <c r="K106" s="728" t="s">
        <v>1122</v>
      </c>
      <c r="L106" s="728" t="s">
        <v>1122</v>
      </c>
      <c r="M106" s="728" t="s">
        <v>1122</v>
      </c>
      <c r="N106" s="728" t="s">
        <v>1122</v>
      </c>
      <c r="O106" s="728" t="s">
        <v>1123</v>
      </c>
      <c r="P106" s="728" t="s">
        <v>1123</v>
      </c>
      <c r="Q106" s="728" t="s">
        <v>1123</v>
      </c>
      <c r="R106" s="728" t="s">
        <v>1123</v>
      </c>
      <c r="S106" s="728" t="s">
        <v>1123</v>
      </c>
      <c r="T106" s="728" t="s">
        <v>1123</v>
      </c>
      <c r="U106" s="181">
        <v>1055300</v>
      </c>
      <c r="V106" s="180">
        <v>0</v>
      </c>
      <c r="W106" s="180">
        <v>0</v>
      </c>
      <c r="X106" s="180">
        <v>0</v>
      </c>
      <c r="Y106" s="180">
        <v>1055300</v>
      </c>
    </row>
    <row r="107" spans="1:25" s="4" customFormat="1" ht="144" x14ac:dyDescent="0.3">
      <c r="A107" s="47" t="s">
        <v>214</v>
      </c>
      <c r="B107" s="189" t="s">
        <v>205</v>
      </c>
      <c r="C107" s="182" t="s">
        <v>855</v>
      </c>
      <c r="D107" s="187" t="s">
        <v>190</v>
      </c>
      <c r="E107" s="187" t="s">
        <v>206</v>
      </c>
      <c r="F107" s="868"/>
      <c r="G107" s="734"/>
      <c r="H107" s="734"/>
      <c r="I107" s="734"/>
      <c r="J107" s="734"/>
      <c r="K107" s="734"/>
      <c r="L107" s="734"/>
      <c r="M107" s="734"/>
      <c r="N107" s="734"/>
      <c r="O107" s="734"/>
      <c r="P107" s="734"/>
      <c r="Q107" s="734"/>
      <c r="R107" s="734"/>
      <c r="S107" s="734"/>
      <c r="T107" s="734"/>
      <c r="U107" s="181">
        <v>620000</v>
      </c>
      <c r="V107" s="180">
        <v>0</v>
      </c>
      <c r="W107" s="180">
        <v>0</v>
      </c>
      <c r="X107" s="180">
        <v>0</v>
      </c>
      <c r="Y107" s="180">
        <v>0</v>
      </c>
    </row>
    <row r="108" spans="1:25" s="4" customFormat="1" ht="216" x14ac:dyDescent="0.3">
      <c r="A108" s="47" t="s">
        <v>204</v>
      </c>
      <c r="B108" s="72" t="s">
        <v>1435</v>
      </c>
      <c r="C108" s="204" t="s">
        <v>1434</v>
      </c>
      <c r="D108" s="42" t="s">
        <v>1145</v>
      </c>
      <c r="E108" s="187" t="s">
        <v>209</v>
      </c>
      <c r="F108" s="868"/>
      <c r="G108" s="734"/>
      <c r="H108" s="734"/>
      <c r="I108" s="734"/>
      <c r="J108" s="734"/>
      <c r="K108" s="734"/>
      <c r="L108" s="734"/>
      <c r="M108" s="734"/>
      <c r="N108" s="734"/>
      <c r="O108" s="734"/>
      <c r="P108" s="734"/>
      <c r="Q108" s="734"/>
      <c r="R108" s="734"/>
      <c r="S108" s="734"/>
      <c r="T108" s="734"/>
      <c r="U108" s="181">
        <v>0</v>
      </c>
      <c r="V108" s="180">
        <v>0</v>
      </c>
      <c r="W108" s="180">
        <v>0</v>
      </c>
      <c r="X108" s="180">
        <v>0</v>
      </c>
      <c r="Y108" s="180">
        <v>0</v>
      </c>
    </row>
    <row r="109" spans="1:25" s="4" customFormat="1" ht="192" x14ac:dyDescent="0.3">
      <c r="A109" s="47" t="s">
        <v>207</v>
      </c>
      <c r="B109" s="188" t="s">
        <v>211</v>
      </c>
      <c r="C109" s="182" t="s">
        <v>212</v>
      </c>
      <c r="D109" s="42" t="s">
        <v>1145</v>
      </c>
      <c r="E109" s="187" t="s">
        <v>213</v>
      </c>
      <c r="F109" s="818"/>
      <c r="G109" s="729"/>
      <c r="H109" s="729"/>
      <c r="I109" s="729"/>
      <c r="J109" s="729"/>
      <c r="K109" s="729"/>
      <c r="L109" s="729"/>
      <c r="M109" s="729"/>
      <c r="N109" s="729"/>
      <c r="O109" s="729"/>
      <c r="P109" s="729"/>
      <c r="Q109" s="729"/>
      <c r="R109" s="729"/>
      <c r="S109" s="729"/>
      <c r="T109" s="729"/>
      <c r="U109" s="181">
        <v>0</v>
      </c>
      <c r="V109" s="180">
        <v>0</v>
      </c>
      <c r="W109" s="180">
        <v>0</v>
      </c>
      <c r="X109" s="180">
        <v>0</v>
      </c>
      <c r="Y109" s="180">
        <v>0</v>
      </c>
    </row>
    <row r="110" spans="1:25" s="4" customFormat="1" ht="96" x14ac:dyDescent="0.3">
      <c r="A110" s="47" t="s">
        <v>219</v>
      </c>
      <c r="B110" s="189" t="s">
        <v>215</v>
      </c>
      <c r="C110" s="182" t="s">
        <v>216</v>
      </c>
      <c r="D110" s="187" t="s">
        <v>190</v>
      </c>
      <c r="E110" s="187" t="s">
        <v>217</v>
      </c>
      <c r="F110" s="192" t="s">
        <v>218</v>
      </c>
      <c r="G110" s="187"/>
      <c r="H110" s="187"/>
      <c r="I110" s="187"/>
      <c r="J110" s="187"/>
      <c r="K110" s="187"/>
      <c r="L110" s="187"/>
      <c r="M110" s="187"/>
      <c r="N110" s="187"/>
      <c r="O110" s="187"/>
      <c r="P110" s="187"/>
      <c r="Q110" s="187"/>
      <c r="R110" s="187"/>
      <c r="S110" s="187"/>
      <c r="T110" s="187"/>
      <c r="U110" s="181">
        <v>9200</v>
      </c>
      <c r="V110" s="180">
        <v>0</v>
      </c>
      <c r="W110" s="180">
        <v>0</v>
      </c>
      <c r="X110" s="180">
        <v>0</v>
      </c>
      <c r="Y110" s="180">
        <v>0</v>
      </c>
    </row>
    <row r="111" spans="1:25" s="4" customFormat="1" ht="216" x14ac:dyDescent="0.3">
      <c r="A111" s="47" t="s">
        <v>210</v>
      </c>
      <c r="B111" s="189" t="s">
        <v>1021</v>
      </c>
      <c r="C111" s="182" t="s">
        <v>1022</v>
      </c>
      <c r="D111" s="187" t="s">
        <v>28</v>
      </c>
      <c r="E111" s="187" t="s">
        <v>220</v>
      </c>
      <c r="F111" s="192" t="s">
        <v>1030</v>
      </c>
      <c r="G111" s="40" t="s">
        <v>62</v>
      </c>
      <c r="H111" s="187">
        <v>0</v>
      </c>
      <c r="I111" s="187">
        <v>0</v>
      </c>
      <c r="J111" s="187">
        <v>0</v>
      </c>
      <c r="K111" s="187">
        <v>0</v>
      </c>
      <c r="L111" s="187">
        <v>10</v>
      </c>
      <c r="M111" s="187">
        <v>20</v>
      </c>
      <c r="N111" s="187">
        <v>30</v>
      </c>
      <c r="O111" s="187">
        <v>50</v>
      </c>
      <c r="P111" s="187">
        <v>60</v>
      </c>
      <c r="Q111" s="187">
        <v>70</v>
      </c>
      <c r="R111" s="187">
        <v>80</v>
      </c>
      <c r="S111" s="187">
        <v>80</v>
      </c>
      <c r="T111" s="187">
        <v>80</v>
      </c>
      <c r="U111" s="181">
        <v>334567.8</v>
      </c>
      <c r="V111" s="180">
        <v>0</v>
      </c>
      <c r="W111" s="180">
        <v>0</v>
      </c>
      <c r="X111" s="180">
        <v>0</v>
      </c>
      <c r="Y111" s="180">
        <v>0</v>
      </c>
    </row>
    <row r="112" spans="1:25" ht="24" x14ac:dyDescent="0.3">
      <c r="A112" s="67" t="s">
        <v>221</v>
      </c>
      <c r="B112" s="946" t="s">
        <v>222</v>
      </c>
      <c r="C112" s="946"/>
      <c r="D112" s="946"/>
      <c r="E112" s="946"/>
      <c r="F112" s="946"/>
      <c r="G112" s="946"/>
      <c r="H112" s="946"/>
      <c r="I112" s="946"/>
      <c r="J112" s="946"/>
      <c r="K112" s="946"/>
      <c r="L112" s="946"/>
      <c r="M112" s="946"/>
      <c r="N112" s="946"/>
      <c r="O112" s="946"/>
      <c r="P112" s="946"/>
      <c r="Q112" s="946"/>
      <c r="R112" s="946"/>
      <c r="S112" s="946"/>
      <c r="T112" s="946"/>
      <c r="U112" s="56"/>
      <c r="V112" s="57"/>
      <c r="W112" s="57"/>
      <c r="X112" s="57"/>
      <c r="Y112" s="57"/>
    </row>
    <row r="113" spans="1:25" ht="24" x14ac:dyDescent="0.3">
      <c r="A113" s="66" t="s">
        <v>223</v>
      </c>
      <c r="B113" s="927" t="s">
        <v>224</v>
      </c>
      <c r="C113" s="927"/>
      <c r="D113" s="927"/>
      <c r="E113" s="927"/>
      <c r="F113" s="927"/>
      <c r="G113" s="927"/>
      <c r="H113" s="927"/>
      <c r="I113" s="927"/>
      <c r="J113" s="927"/>
      <c r="K113" s="927"/>
      <c r="L113" s="927"/>
      <c r="M113" s="927"/>
      <c r="N113" s="927"/>
      <c r="O113" s="927"/>
      <c r="P113" s="927"/>
      <c r="Q113" s="927"/>
      <c r="R113" s="927"/>
      <c r="S113" s="927"/>
      <c r="T113" s="927"/>
      <c r="U113" s="51"/>
      <c r="V113" s="52"/>
      <c r="W113" s="52"/>
      <c r="X113" s="52"/>
      <c r="Y113" s="52"/>
    </row>
    <row r="114" spans="1:25" s="4" customFormat="1" ht="192" x14ac:dyDescent="0.3">
      <c r="A114" s="47" t="s">
        <v>225</v>
      </c>
      <c r="B114" s="134" t="s">
        <v>1064</v>
      </c>
      <c r="C114" s="188" t="s">
        <v>1059</v>
      </c>
      <c r="D114" s="187" t="s">
        <v>1239</v>
      </c>
      <c r="E114" s="187" t="s">
        <v>52</v>
      </c>
      <c r="F114" s="73" t="s">
        <v>1058</v>
      </c>
      <c r="G114" s="187" t="s">
        <v>31</v>
      </c>
      <c r="H114" s="44">
        <v>24</v>
      </c>
      <c r="I114" s="44">
        <v>35</v>
      </c>
      <c r="J114" s="44">
        <v>37</v>
      </c>
      <c r="K114" s="44">
        <v>37</v>
      </c>
      <c r="L114" s="44">
        <v>38</v>
      </c>
      <c r="M114" s="44">
        <v>38</v>
      </c>
      <c r="N114" s="44">
        <v>38</v>
      </c>
      <c r="O114" s="44">
        <v>40</v>
      </c>
      <c r="P114" s="44">
        <v>40</v>
      </c>
      <c r="Q114" s="44">
        <v>40</v>
      </c>
      <c r="R114" s="44">
        <v>45</v>
      </c>
      <c r="S114" s="44">
        <v>45</v>
      </c>
      <c r="T114" s="44">
        <v>45</v>
      </c>
      <c r="U114" s="181">
        <v>19200</v>
      </c>
      <c r="V114" s="180">
        <v>1800</v>
      </c>
      <c r="W114" s="180">
        <v>3000</v>
      </c>
      <c r="X114" s="180">
        <v>0</v>
      </c>
      <c r="Y114" s="180">
        <v>0</v>
      </c>
    </row>
    <row r="115" spans="1:25" s="4" customFormat="1" ht="312" x14ac:dyDescent="0.3">
      <c r="A115" s="47" t="s">
        <v>227</v>
      </c>
      <c r="B115" s="182" t="s">
        <v>1065</v>
      </c>
      <c r="C115" s="188" t="s">
        <v>1061</v>
      </c>
      <c r="D115" s="187" t="s">
        <v>1239</v>
      </c>
      <c r="E115" s="187" t="s">
        <v>52</v>
      </c>
      <c r="F115" s="74" t="s">
        <v>1060</v>
      </c>
      <c r="G115" s="187" t="s">
        <v>62</v>
      </c>
      <c r="H115" s="124">
        <v>41</v>
      </c>
      <c r="I115" s="124">
        <v>47.3</v>
      </c>
      <c r="J115" s="124">
        <v>47.8</v>
      </c>
      <c r="K115" s="124">
        <v>47.8</v>
      </c>
      <c r="L115" s="124">
        <v>48</v>
      </c>
      <c r="M115" s="124">
        <v>48</v>
      </c>
      <c r="N115" s="124">
        <v>48</v>
      </c>
      <c r="O115" s="124">
        <v>48.2</v>
      </c>
      <c r="P115" s="124">
        <v>48.2</v>
      </c>
      <c r="Q115" s="124">
        <v>48.2</v>
      </c>
      <c r="R115" s="124">
        <v>48.5</v>
      </c>
      <c r="S115" s="124">
        <v>48.5</v>
      </c>
      <c r="T115" s="124">
        <v>48.5</v>
      </c>
      <c r="U115" s="181">
        <v>44452.80000000001</v>
      </c>
      <c r="V115" s="180">
        <v>7573.2000000000007</v>
      </c>
      <c r="W115" s="180">
        <v>3540</v>
      </c>
      <c r="X115" s="180">
        <v>0</v>
      </c>
      <c r="Y115" s="180">
        <v>0</v>
      </c>
    </row>
    <row r="116" spans="1:25" s="4" customFormat="1" ht="264" x14ac:dyDescent="0.3">
      <c r="A116" s="47" t="s">
        <v>228</v>
      </c>
      <c r="B116" s="135" t="s">
        <v>1066</v>
      </c>
      <c r="C116" s="188" t="s">
        <v>1063</v>
      </c>
      <c r="D116" s="187" t="s">
        <v>1239</v>
      </c>
      <c r="E116" s="187" t="s">
        <v>52</v>
      </c>
      <c r="F116" s="75" t="s">
        <v>1062</v>
      </c>
      <c r="G116" s="187" t="s">
        <v>74</v>
      </c>
      <c r="H116" s="44">
        <v>4418</v>
      </c>
      <c r="I116" s="44">
        <v>4800</v>
      </c>
      <c r="J116" s="44">
        <v>5039</v>
      </c>
      <c r="K116" s="44">
        <v>5039</v>
      </c>
      <c r="L116" s="44">
        <v>5327</v>
      </c>
      <c r="M116" s="44">
        <v>5327</v>
      </c>
      <c r="N116" s="44">
        <v>5327</v>
      </c>
      <c r="O116" s="44">
        <v>5685</v>
      </c>
      <c r="P116" s="44">
        <v>5685</v>
      </c>
      <c r="Q116" s="44">
        <v>5685</v>
      </c>
      <c r="R116" s="44">
        <v>6047</v>
      </c>
      <c r="S116" s="44">
        <v>6047</v>
      </c>
      <c r="T116" s="44">
        <v>6047</v>
      </c>
      <c r="U116" s="181">
        <v>20953.199999999997</v>
      </c>
      <c r="V116" s="180">
        <v>4105.7999999999993</v>
      </c>
      <c r="W116" s="180">
        <v>1132.5</v>
      </c>
      <c r="X116" s="180">
        <v>0</v>
      </c>
      <c r="Y116" s="180">
        <v>0</v>
      </c>
    </row>
    <row r="117" spans="1:25" ht="24" x14ac:dyDescent="0.3">
      <c r="A117" s="66" t="s">
        <v>229</v>
      </c>
      <c r="B117" s="927" t="s">
        <v>230</v>
      </c>
      <c r="C117" s="927"/>
      <c r="D117" s="927"/>
      <c r="E117" s="927"/>
      <c r="F117" s="927"/>
      <c r="G117" s="927"/>
      <c r="H117" s="927"/>
      <c r="I117" s="927"/>
      <c r="J117" s="927"/>
      <c r="K117" s="927"/>
      <c r="L117" s="927"/>
      <c r="M117" s="927"/>
      <c r="N117" s="927"/>
      <c r="O117" s="927"/>
      <c r="P117" s="927"/>
      <c r="Q117" s="927"/>
      <c r="R117" s="927"/>
      <c r="S117" s="927"/>
      <c r="T117" s="927"/>
      <c r="U117" s="51"/>
      <c r="V117" s="52"/>
      <c r="W117" s="52"/>
      <c r="X117" s="52"/>
      <c r="Y117" s="52"/>
    </row>
    <row r="118" spans="1:25" s="4" customFormat="1" ht="216" x14ac:dyDescent="0.3">
      <c r="A118" s="47" t="s">
        <v>1251</v>
      </c>
      <c r="B118" s="189" t="s">
        <v>232</v>
      </c>
      <c r="C118" s="188" t="s">
        <v>1287</v>
      </c>
      <c r="D118" s="187" t="s">
        <v>1144</v>
      </c>
      <c r="E118" s="187" t="s">
        <v>52</v>
      </c>
      <c r="F118" s="192" t="s">
        <v>231</v>
      </c>
      <c r="G118" s="187" t="s">
        <v>74</v>
      </c>
      <c r="H118" s="187">
        <v>0</v>
      </c>
      <c r="I118" s="187">
        <v>10</v>
      </c>
      <c r="J118" s="187">
        <v>10</v>
      </c>
      <c r="K118" s="187">
        <v>10</v>
      </c>
      <c r="L118" s="187">
        <v>15</v>
      </c>
      <c r="M118" s="187">
        <v>15</v>
      </c>
      <c r="N118" s="187">
        <v>15</v>
      </c>
      <c r="O118" s="187">
        <v>20</v>
      </c>
      <c r="P118" s="187">
        <v>20</v>
      </c>
      <c r="Q118" s="187">
        <v>20</v>
      </c>
      <c r="R118" s="187">
        <v>30</v>
      </c>
      <c r="S118" s="187">
        <v>30</v>
      </c>
      <c r="T118" s="187">
        <v>30</v>
      </c>
      <c r="U118" s="181">
        <v>600</v>
      </c>
      <c r="V118" s="180">
        <v>150</v>
      </c>
      <c r="W118" s="180">
        <v>0</v>
      </c>
      <c r="X118" s="180">
        <v>0</v>
      </c>
      <c r="Y118" s="180">
        <v>0</v>
      </c>
    </row>
    <row r="119" spans="1:25" s="4" customFormat="1" ht="384" x14ac:dyDescent="0.3">
      <c r="A119" s="47" t="s">
        <v>1252</v>
      </c>
      <c r="B119" s="134" t="s">
        <v>1069</v>
      </c>
      <c r="C119" s="188" t="s">
        <v>1138</v>
      </c>
      <c r="D119" s="187" t="s">
        <v>1067</v>
      </c>
      <c r="E119" s="187" t="s">
        <v>52</v>
      </c>
      <c r="F119" s="73" t="s">
        <v>1068</v>
      </c>
      <c r="G119" s="187" t="s">
        <v>74</v>
      </c>
      <c r="H119" s="65">
        <v>23988</v>
      </c>
      <c r="I119" s="65">
        <v>25200</v>
      </c>
      <c r="J119" s="65">
        <v>25200</v>
      </c>
      <c r="K119" s="65">
        <v>25200</v>
      </c>
      <c r="L119" s="65">
        <v>25340</v>
      </c>
      <c r="M119" s="65">
        <v>25340</v>
      </c>
      <c r="N119" s="65">
        <v>25340</v>
      </c>
      <c r="O119" s="65">
        <v>25520</v>
      </c>
      <c r="P119" s="65">
        <v>25520</v>
      </c>
      <c r="Q119" s="65">
        <v>25520</v>
      </c>
      <c r="R119" s="65">
        <v>25850</v>
      </c>
      <c r="S119" s="65">
        <v>25850</v>
      </c>
      <c r="T119" s="65">
        <v>25850</v>
      </c>
      <c r="U119" s="181">
        <v>5316</v>
      </c>
      <c r="V119" s="180">
        <v>575.70000000000005</v>
      </c>
      <c r="W119" s="180">
        <v>753.3</v>
      </c>
      <c r="X119" s="180">
        <v>0</v>
      </c>
      <c r="Y119" s="180">
        <v>0</v>
      </c>
    </row>
    <row r="120" spans="1:25" s="4" customFormat="1" ht="168" x14ac:dyDescent="0.3">
      <c r="A120" s="47" t="s">
        <v>1095</v>
      </c>
      <c r="B120" s="189" t="s">
        <v>1071</v>
      </c>
      <c r="C120" s="188" t="s">
        <v>1288</v>
      </c>
      <c r="D120" s="187" t="s">
        <v>1067</v>
      </c>
      <c r="E120" s="187" t="s">
        <v>52</v>
      </c>
      <c r="F120" s="192" t="s">
        <v>1070</v>
      </c>
      <c r="G120" s="187" t="s">
        <v>74</v>
      </c>
      <c r="H120" s="187">
        <v>18</v>
      </c>
      <c r="I120" s="44">
        <v>40</v>
      </c>
      <c r="J120" s="44">
        <v>40</v>
      </c>
      <c r="K120" s="44">
        <v>40</v>
      </c>
      <c r="L120" s="44">
        <v>42</v>
      </c>
      <c r="M120" s="44">
        <v>42</v>
      </c>
      <c r="N120" s="44">
        <v>42</v>
      </c>
      <c r="O120" s="44">
        <v>45</v>
      </c>
      <c r="P120" s="44">
        <v>45</v>
      </c>
      <c r="Q120" s="44">
        <v>45</v>
      </c>
      <c r="R120" s="44">
        <v>50</v>
      </c>
      <c r="S120" s="44">
        <v>50</v>
      </c>
      <c r="T120" s="44">
        <v>50</v>
      </c>
      <c r="U120" s="181">
        <v>2313.5999999999995</v>
      </c>
      <c r="V120" s="180">
        <v>643.20000000000005</v>
      </c>
      <c r="W120" s="180">
        <v>0</v>
      </c>
      <c r="X120" s="180">
        <v>0</v>
      </c>
      <c r="Y120" s="180">
        <v>0</v>
      </c>
    </row>
    <row r="121" spans="1:25" ht="24" x14ac:dyDescent="0.3">
      <c r="A121" s="66" t="s">
        <v>233</v>
      </c>
      <c r="B121" s="927" t="s">
        <v>234</v>
      </c>
      <c r="C121" s="927"/>
      <c r="D121" s="927"/>
      <c r="E121" s="927"/>
      <c r="F121" s="927"/>
      <c r="G121" s="927"/>
      <c r="H121" s="927"/>
      <c r="I121" s="927"/>
      <c r="J121" s="927"/>
      <c r="K121" s="927"/>
      <c r="L121" s="927"/>
      <c r="M121" s="927"/>
      <c r="N121" s="927"/>
      <c r="O121" s="927"/>
      <c r="P121" s="927"/>
      <c r="Q121" s="927"/>
      <c r="R121" s="927"/>
      <c r="S121" s="927"/>
      <c r="T121" s="927"/>
      <c r="U121" s="51"/>
      <c r="V121" s="52"/>
      <c r="W121" s="52"/>
      <c r="X121" s="52"/>
      <c r="Y121" s="52"/>
    </row>
    <row r="122" spans="1:25" s="4" customFormat="1" ht="72" x14ac:dyDescent="0.3">
      <c r="A122" s="862" t="s">
        <v>235</v>
      </c>
      <c r="B122" s="859" t="s">
        <v>236</v>
      </c>
      <c r="C122" s="859" t="s">
        <v>1289</v>
      </c>
      <c r="D122" s="714" t="s">
        <v>237</v>
      </c>
      <c r="E122" s="714" t="s">
        <v>52</v>
      </c>
      <c r="F122" s="192" t="s">
        <v>1002</v>
      </c>
      <c r="G122" s="187" t="s">
        <v>74</v>
      </c>
      <c r="H122" s="187">
        <v>743</v>
      </c>
      <c r="I122" s="187">
        <v>805</v>
      </c>
      <c r="J122" s="187">
        <v>805</v>
      </c>
      <c r="K122" s="187">
        <v>805</v>
      </c>
      <c r="L122" s="187">
        <v>805</v>
      </c>
      <c r="M122" s="187">
        <v>805</v>
      </c>
      <c r="N122" s="187">
        <v>805</v>
      </c>
      <c r="O122" s="187">
        <v>805</v>
      </c>
      <c r="P122" s="187">
        <v>805</v>
      </c>
      <c r="Q122" s="187">
        <v>805</v>
      </c>
      <c r="R122" s="187">
        <v>805</v>
      </c>
      <c r="S122" s="187">
        <v>805</v>
      </c>
      <c r="T122" s="187">
        <v>805</v>
      </c>
      <c r="U122" s="773">
        <v>577032</v>
      </c>
      <c r="V122" s="791">
        <v>23146.800000000003</v>
      </c>
      <c r="W122" s="791">
        <v>28285.199999999993</v>
      </c>
      <c r="X122" s="791">
        <v>0</v>
      </c>
      <c r="Y122" s="791">
        <v>525600</v>
      </c>
    </row>
    <row r="123" spans="1:25" s="4" customFormat="1" ht="192" x14ac:dyDescent="0.3">
      <c r="A123" s="863"/>
      <c r="B123" s="861"/>
      <c r="C123" s="861"/>
      <c r="D123" s="715"/>
      <c r="E123" s="715"/>
      <c r="F123" s="192" t="s">
        <v>238</v>
      </c>
      <c r="G123" s="187" t="s">
        <v>62</v>
      </c>
      <c r="H123" s="187" t="s">
        <v>140</v>
      </c>
      <c r="I123" s="187">
        <v>7.9</v>
      </c>
      <c r="J123" s="187">
        <v>7.9</v>
      </c>
      <c r="K123" s="187">
        <v>7.9</v>
      </c>
      <c r="L123" s="187">
        <v>7.9</v>
      </c>
      <c r="M123" s="187">
        <v>7.9</v>
      </c>
      <c r="N123" s="187">
        <v>7.9</v>
      </c>
      <c r="O123" s="187">
        <v>7.9</v>
      </c>
      <c r="P123" s="187">
        <v>7.9</v>
      </c>
      <c r="Q123" s="187">
        <v>7.9</v>
      </c>
      <c r="R123" s="187">
        <v>7.9</v>
      </c>
      <c r="S123" s="187">
        <v>7.9</v>
      </c>
      <c r="T123" s="187">
        <v>7.9</v>
      </c>
      <c r="U123" s="774"/>
      <c r="V123" s="792"/>
      <c r="W123" s="792"/>
      <c r="X123" s="792"/>
      <c r="Y123" s="792"/>
    </row>
    <row r="124" spans="1:25" s="4" customFormat="1" ht="72" x14ac:dyDescent="0.3">
      <c r="A124" s="47" t="s">
        <v>239</v>
      </c>
      <c r="B124" s="189" t="s">
        <v>240</v>
      </c>
      <c r="C124" s="188" t="s">
        <v>1290</v>
      </c>
      <c r="D124" s="187" t="s">
        <v>241</v>
      </c>
      <c r="E124" s="187" t="s">
        <v>52</v>
      </c>
      <c r="F124" s="192" t="s">
        <v>242</v>
      </c>
      <c r="G124" s="187" t="s">
        <v>74</v>
      </c>
      <c r="H124" s="187">
        <v>0</v>
      </c>
      <c r="I124" s="187">
        <v>80</v>
      </c>
      <c r="J124" s="187">
        <v>80</v>
      </c>
      <c r="K124" s="187">
        <v>80</v>
      </c>
      <c r="L124" s="187">
        <v>80</v>
      </c>
      <c r="M124" s="187">
        <v>80</v>
      </c>
      <c r="N124" s="187">
        <v>80</v>
      </c>
      <c r="O124" s="187">
        <v>80</v>
      </c>
      <c r="P124" s="187">
        <v>80</v>
      </c>
      <c r="Q124" s="187">
        <v>80</v>
      </c>
      <c r="R124" s="187">
        <v>80</v>
      </c>
      <c r="S124" s="187">
        <v>80</v>
      </c>
      <c r="T124" s="187">
        <v>80</v>
      </c>
      <c r="U124" s="181">
        <v>0</v>
      </c>
      <c r="V124" s="180">
        <v>0</v>
      </c>
      <c r="W124" s="180">
        <v>0</v>
      </c>
      <c r="X124" s="180">
        <v>0</v>
      </c>
      <c r="Y124" s="180">
        <v>0</v>
      </c>
    </row>
    <row r="125" spans="1:25" s="4" customFormat="1" ht="190.5" customHeight="1" x14ac:dyDescent="0.3">
      <c r="A125" s="171" t="s">
        <v>243</v>
      </c>
      <c r="B125" s="167" t="s">
        <v>1072</v>
      </c>
      <c r="C125" s="167" t="s">
        <v>1291</v>
      </c>
      <c r="D125" s="187" t="s">
        <v>1067</v>
      </c>
      <c r="E125" s="187" t="s">
        <v>91</v>
      </c>
      <c r="F125" s="192" t="s">
        <v>226</v>
      </c>
      <c r="G125" s="187" t="s">
        <v>62</v>
      </c>
      <c r="H125" s="187">
        <v>0</v>
      </c>
      <c r="I125" s="44">
        <v>0</v>
      </c>
      <c r="J125" s="118">
        <v>0.42</v>
      </c>
      <c r="K125" s="118">
        <v>0.42</v>
      </c>
      <c r="L125" s="118">
        <v>0.45</v>
      </c>
      <c r="M125" s="118">
        <v>0.45</v>
      </c>
      <c r="N125" s="118">
        <v>0.45</v>
      </c>
      <c r="O125" s="118">
        <v>0.47</v>
      </c>
      <c r="P125" s="118">
        <v>0.47</v>
      </c>
      <c r="Q125" s="118">
        <v>0.47</v>
      </c>
      <c r="R125" s="118">
        <v>0.5</v>
      </c>
      <c r="S125" s="118">
        <v>0.5</v>
      </c>
      <c r="T125" s="118">
        <v>0.5</v>
      </c>
      <c r="U125" s="181">
        <v>770</v>
      </c>
      <c r="V125" s="180">
        <v>100</v>
      </c>
      <c r="W125" s="180">
        <v>40</v>
      </c>
      <c r="X125" s="180">
        <v>0</v>
      </c>
      <c r="Y125" s="180">
        <v>0</v>
      </c>
    </row>
    <row r="126" spans="1:25" s="4" customFormat="1" ht="144" x14ac:dyDescent="0.3">
      <c r="A126" s="171" t="s">
        <v>244</v>
      </c>
      <c r="B126" s="169" t="s">
        <v>932</v>
      </c>
      <c r="C126" s="169" t="s">
        <v>1292</v>
      </c>
      <c r="D126" s="187" t="s">
        <v>190</v>
      </c>
      <c r="E126" s="187" t="s">
        <v>52</v>
      </c>
      <c r="F126" s="192" t="s">
        <v>192</v>
      </c>
      <c r="G126" s="187" t="s">
        <v>31</v>
      </c>
      <c r="H126" s="187">
        <v>552</v>
      </c>
      <c r="I126" s="44">
        <v>550</v>
      </c>
      <c r="J126" s="44">
        <v>550</v>
      </c>
      <c r="K126" s="44">
        <v>550</v>
      </c>
      <c r="L126" s="44">
        <v>550</v>
      </c>
      <c r="M126" s="44">
        <v>550</v>
      </c>
      <c r="N126" s="44">
        <v>550</v>
      </c>
      <c r="O126" s="44">
        <v>550</v>
      </c>
      <c r="P126" s="44">
        <v>550</v>
      </c>
      <c r="Q126" s="44">
        <v>550</v>
      </c>
      <c r="R126" s="44">
        <v>550</v>
      </c>
      <c r="S126" s="44">
        <v>550</v>
      </c>
      <c r="T126" s="44">
        <v>550</v>
      </c>
      <c r="U126" s="181">
        <v>70101.400000000009</v>
      </c>
      <c r="V126" s="180">
        <v>70101.400000000009</v>
      </c>
      <c r="W126" s="180">
        <v>0</v>
      </c>
      <c r="X126" s="180">
        <v>0</v>
      </c>
      <c r="Y126" s="180">
        <v>0</v>
      </c>
    </row>
    <row r="127" spans="1:25" ht="24" x14ac:dyDescent="0.3">
      <c r="A127" s="67" t="s">
        <v>245</v>
      </c>
      <c r="B127" s="946" t="s">
        <v>246</v>
      </c>
      <c r="C127" s="946"/>
      <c r="D127" s="946"/>
      <c r="E127" s="946"/>
      <c r="F127" s="946"/>
      <c r="G127" s="946"/>
      <c r="H127" s="946"/>
      <c r="I127" s="946"/>
      <c r="J127" s="946"/>
      <c r="K127" s="946"/>
      <c r="L127" s="946"/>
      <c r="M127" s="946"/>
      <c r="N127" s="946"/>
      <c r="O127" s="946"/>
      <c r="P127" s="946"/>
      <c r="Q127" s="946"/>
      <c r="R127" s="946"/>
      <c r="S127" s="946"/>
      <c r="T127" s="946"/>
      <c r="U127" s="56"/>
      <c r="V127" s="57"/>
      <c r="W127" s="57"/>
      <c r="X127" s="57"/>
      <c r="Y127" s="57"/>
    </row>
    <row r="128" spans="1:25" ht="24" x14ac:dyDescent="0.3">
      <c r="A128" s="66" t="s">
        <v>247</v>
      </c>
      <c r="B128" s="927" t="s">
        <v>248</v>
      </c>
      <c r="C128" s="927"/>
      <c r="D128" s="927"/>
      <c r="E128" s="927"/>
      <c r="F128" s="927"/>
      <c r="G128" s="927"/>
      <c r="H128" s="927"/>
      <c r="I128" s="927"/>
      <c r="J128" s="927"/>
      <c r="K128" s="927"/>
      <c r="L128" s="927"/>
      <c r="M128" s="927"/>
      <c r="N128" s="927"/>
      <c r="O128" s="927"/>
      <c r="P128" s="927"/>
      <c r="Q128" s="927"/>
      <c r="R128" s="927"/>
      <c r="S128" s="927"/>
      <c r="T128" s="927"/>
      <c r="U128" s="51"/>
      <c r="V128" s="52"/>
      <c r="W128" s="52"/>
      <c r="X128" s="52"/>
      <c r="Y128" s="52"/>
    </row>
    <row r="129" spans="1:25" s="4" customFormat="1" ht="216" x14ac:dyDescent="0.3">
      <c r="A129" s="877" t="s">
        <v>249</v>
      </c>
      <c r="B129" s="843" t="s">
        <v>250</v>
      </c>
      <c r="C129" s="182" t="s">
        <v>1293</v>
      </c>
      <c r="D129" s="714" t="s">
        <v>812</v>
      </c>
      <c r="E129" s="193" t="s">
        <v>52</v>
      </c>
      <c r="F129" s="74" t="s">
        <v>251</v>
      </c>
      <c r="G129" s="193" t="s">
        <v>31</v>
      </c>
      <c r="H129" s="193">
        <v>56</v>
      </c>
      <c r="I129" s="193">
        <v>64</v>
      </c>
      <c r="J129" s="193">
        <v>69</v>
      </c>
      <c r="K129" s="193">
        <v>72</v>
      </c>
      <c r="L129" s="193">
        <v>72</v>
      </c>
      <c r="M129" s="193">
        <v>72</v>
      </c>
      <c r="N129" s="193">
        <v>72</v>
      </c>
      <c r="O129" s="193">
        <v>77</v>
      </c>
      <c r="P129" s="193">
        <v>77</v>
      </c>
      <c r="Q129" s="193">
        <v>77</v>
      </c>
      <c r="R129" s="193">
        <v>77</v>
      </c>
      <c r="S129" s="193">
        <v>77</v>
      </c>
      <c r="T129" s="193">
        <v>80</v>
      </c>
      <c r="U129" s="181">
        <v>0</v>
      </c>
      <c r="V129" s="180">
        <v>0</v>
      </c>
      <c r="W129" s="180">
        <v>0</v>
      </c>
      <c r="X129" s="180">
        <v>0</v>
      </c>
      <c r="Y129" s="180">
        <v>0</v>
      </c>
    </row>
    <row r="130" spans="1:25" s="4" customFormat="1" ht="240" x14ac:dyDescent="0.3">
      <c r="A130" s="877"/>
      <c r="B130" s="843"/>
      <c r="C130" s="182" t="s">
        <v>252</v>
      </c>
      <c r="D130" s="715"/>
      <c r="E130" s="193" t="s">
        <v>52</v>
      </c>
      <c r="F130" s="74" t="s">
        <v>253</v>
      </c>
      <c r="G130" s="193" t="s">
        <v>31</v>
      </c>
      <c r="H130" s="193">
        <v>2</v>
      </c>
      <c r="I130" s="193">
        <v>3</v>
      </c>
      <c r="J130" s="193">
        <v>3</v>
      </c>
      <c r="K130" s="193">
        <v>3</v>
      </c>
      <c r="L130" s="193">
        <v>3</v>
      </c>
      <c r="M130" s="193">
        <v>3</v>
      </c>
      <c r="N130" s="193">
        <v>3</v>
      </c>
      <c r="O130" s="193">
        <v>3</v>
      </c>
      <c r="P130" s="193">
        <v>3</v>
      </c>
      <c r="Q130" s="193">
        <v>3</v>
      </c>
      <c r="R130" s="193">
        <v>3</v>
      </c>
      <c r="S130" s="193">
        <v>3</v>
      </c>
      <c r="T130" s="193">
        <v>3</v>
      </c>
      <c r="U130" s="181">
        <v>7200</v>
      </c>
      <c r="V130" s="180">
        <v>600</v>
      </c>
      <c r="W130" s="180">
        <v>0</v>
      </c>
      <c r="X130" s="180">
        <v>0</v>
      </c>
      <c r="Y130" s="180">
        <v>0</v>
      </c>
    </row>
    <row r="131" spans="1:25" ht="24" x14ac:dyDescent="0.3">
      <c r="A131" s="66" t="s">
        <v>254</v>
      </c>
      <c r="B131" s="927" t="s">
        <v>255</v>
      </c>
      <c r="C131" s="927"/>
      <c r="D131" s="927"/>
      <c r="E131" s="927"/>
      <c r="F131" s="927"/>
      <c r="G131" s="927"/>
      <c r="H131" s="927"/>
      <c r="I131" s="927"/>
      <c r="J131" s="927"/>
      <c r="K131" s="927"/>
      <c r="L131" s="927"/>
      <c r="M131" s="927"/>
      <c r="N131" s="927"/>
      <c r="O131" s="927"/>
      <c r="P131" s="927"/>
      <c r="Q131" s="927"/>
      <c r="R131" s="927"/>
      <c r="S131" s="927"/>
      <c r="T131" s="927"/>
      <c r="U131" s="51"/>
      <c r="V131" s="52"/>
      <c r="W131" s="52"/>
      <c r="X131" s="52"/>
      <c r="Y131" s="52"/>
    </row>
    <row r="132" spans="1:25" s="4" customFormat="1" ht="197.25" customHeight="1" x14ac:dyDescent="0.3">
      <c r="A132" s="862" t="s">
        <v>256</v>
      </c>
      <c r="B132" s="839" t="s">
        <v>257</v>
      </c>
      <c r="C132" s="859" t="s">
        <v>1294</v>
      </c>
      <c r="D132" s="714" t="s">
        <v>812</v>
      </c>
      <c r="E132" s="193" t="s">
        <v>258</v>
      </c>
      <c r="F132" s="192" t="s">
        <v>259</v>
      </c>
      <c r="G132" s="187" t="s">
        <v>260</v>
      </c>
      <c r="H132" s="193"/>
      <c r="I132" s="193"/>
      <c r="J132" s="193"/>
      <c r="K132" s="193"/>
      <c r="L132" s="193"/>
      <c r="M132" s="193"/>
      <c r="N132" s="193"/>
      <c r="O132" s="193"/>
      <c r="P132" s="193"/>
      <c r="Q132" s="193"/>
      <c r="R132" s="193"/>
      <c r="S132" s="193"/>
      <c r="T132" s="187">
        <v>1</v>
      </c>
      <c r="U132" s="773">
        <v>0</v>
      </c>
      <c r="V132" s="791">
        <v>0</v>
      </c>
      <c r="W132" s="791">
        <v>0</v>
      </c>
      <c r="X132" s="791">
        <v>0</v>
      </c>
      <c r="Y132" s="791">
        <v>0</v>
      </c>
    </row>
    <row r="133" spans="1:25" s="4" customFormat="1" ht="220.5" customHeight="1" x14ac:dyDescent="0.3">
      <c r="A133" s="863"/>
      <c r="B133" s="840"/>
      <c r="C133" s="861"/>
      <c r="D133" s="715"/>
      <c r="E133" s="193" t="s">
        <v>52</v>
      </c>
      <c r="F133" s="150" t="s">
        <v>261</v>
      </c>
      <c r="G133" s="69" t="s">
        <v>31</v>
      </c>
      <c r="H133" s="149">
        <v>9</v>
      </c>
      <c r="I133" s="149">
        <v>10</v>
      </c>
      <c r="J133" s="149">
        <v>10</v>
      </c>
      <c r="K133" s="149">
        <v>10</v>
      </c>
      <c r="L133" s="149">
        <v>10</v>
      </c>
      <c r="M133" s="149">
        <v>10</v>
      </c>
      <c r="N133" s="149">
        <v>10</v>
      </c>
      <c r="O133" s="149">
        <v>11</v>
      </c>
      <c r="P133" s="149">
        <v>11</v>
      </c>
      <c r="Q133" s="149">
        <v>11</v>
      </c>
      <c r="R133" s="149">
        <v>11</v>
      </c>
      <c r="S133" s="149">
        <v>11</v>
      </c>
      <c r="T133" s="149">
        <v>12</v>
      </c>
      <c r="U133" s="774"/>
      <c r="V133" s="792"/>
      <c r="W133" s="792"/>
      <c r="X133" s="792"/>
      <c r="Y133" s="792"/>
    </row>
    <row r="134" spans="1:25" ht="24" x14ac:dyDescent="0.3">
      <c r="A134" s="66" t="s">
        <v>262</v>
      </c>
      <c r="B134" s="927" t="s">
        <v>263</v>
      </c>
      <c r="C134" s="927"/>
      <c r="D134" s="927"/>
      <c r="E134" s="927"/>
      <c r="F134" s="927"/>
      <c r="G134" s="927"/>
      <c r="H134" s="927"/>
      <c r="I134" s="927"/>
      <c r="J134" s="927"/>
      <c r="K134" s="927"/>
      <c r="L134" s="927"/>
      <c r="M134" s="927"/>
      <c r="N134" s="927"/>
      <c r="O134" s="927"/>
      <c r="P134" s="927"/>
      <c r="Q134" s="927"/>
      <c r="R134" s="927"/>
      <c r="S134" s="927"/>
      <c r="T134" s="927"/>
      <c r="U134" s="51"/>
      <c r="V134" s="52"/>
      <c r="W134" s="52"/>
      <c r="X134" s="52"/>
      <c r="Y134" s="52"/>
    </row>
    <row r="135" spans="1:25" s="4" customFormat="1" ht="144" x14ac:dyDescent="0.3">
      <c r="A135" s="190" t="s">
        <v>264</v>
      </c>
      <c r="B135" s="182" t="s">
        <v>265</v>
      </c>
      <c r="C135" s="182" t="s">
        <v>1295</v>
      </c>
      <c r="D135" s="193" t="s">
        <v>28</v>
      </c>
      <c r="E135" s="193" t="s">
        <v>266</v>
      </c>
      <c r="F135" s="74" t="s">
        <v>1430</v>
      </c>
      <c r="G135" s="193"/>
      <c r="H135" s="193"/>
      <c r="I135" s="193" t="s">
        <v>118</v>
      </c>
      <c r="J135" s="193"/>
      <c r="K135" s="193"/>
      <c r="L135" s="193"/>
      <c r="M135" s="193"/>
      <c r="N135" s="193"/>
      <c r="O135" s="193"/>
      <c r="P135" s="193"/>
      <c r="Q135" s="193"/>
      <c r="R135" s="193"/>
      <c r="S135" s="193"/>
      <c r="T135" s="193"/>
      <c r="U135" s="181">
        <v>7187.4</v>
      </c>
      <c r="V135" s="180">
        <v>7187.4</v>
      </c>
      <c r="W135" s="180">
        <v>0</v>
      </c>
      <c r="X135" s="180">
        <v>0</v>
      </c>
      <c r="Y135" s="180">
        <v>0</v>
      </c>
    </row>
    <row r="136" spans="1:25" s="4" customFormat="1" ht="96" x14ac:dyDescent="0.3">
      <c r="A136" s="862" t="s">
        <v>816</v>
      </c>
      <c r="B136" s="804" t="s">
        <v>379</v>
      </c>
      <c r="C136" s="804" t="s">
        <v>1296</v>
      </c>
      <c r="D136" s="728" t="s">
        <v>364</v>
      </c>
      <c r="E136" s="728" t="s">
        <v>91</v>
      </c>
      <c r="F136" s="192" t="s">
        <v>380</v>
      </c>
      <c r="G136" s="187" t="s">
        <v>62</v>
      </c>
      <c r="H136" s="187"/>
      <c r="I136" s="187"/>
      <c r="J136" s="187">
        <v>10</v>
      </c>
      <c r="K136" s="187">
        <v>20</v>
      </c>
      <c r="L136" s="187">
        <v>30</v>
      </c>
      <c r="M136" s="187">
        <v>40</v>
      </c>
      <c r="N136" s="187">
        <v>50</v>
      </c>
      <c r="O136" s="187">
        <v>60</v>
      </c>
      <c r="P136" s="187">
        <v>70</v>
      </c>
      <c r="Q136" s="187">
        <v>80</v>
      </c>
      <c r="R136" s="187">
        <v>90</v>
      </c>
      <c r="S136" s="187">
        <v>95</v>
      </c>
      <c r="T136" s="193">
        <v>100</v>
      </c>
      <c r="U136" s="773">
        <v>60000</v>
      </c>
      <c r="V136" s="791">
        <v>0</v>
      </c>
      <c r="W136" s="791">
        <v>0</v>
      </c>
      <c r="X136" s="791">
        <v>0</v>
      </c>
      <c r="Y136" s="791">
        <v>0</v>
      </c>
    </row>
    <row r="137" spans="1:25" s="4" customFormat="1" ht="120" x14ac:dyDescent="0.3">
      <c r="A137" s="863"/>
      <c r="B137" s="805"/>
      <c r="C137" s="805"/>
      <c r="D137" s="729"/>
      <c r="E137" s="729"/>
      <c r="F137" s="192" t="s">
        <v>880</v>
      </c>
      <c r="G137" s="187" t="s">
        <v>62</v>
      </c>
      <c r="H137" s="187">
        <v>10</v>
      </c>
      <c r="I137" s="187"/>
      <c r="J137" s="187">
        <v>29</v>
      </c>
      <c r="K137" s="187">
        <v>29</v>
      </c>
      <c r="L137" s="187">
        <v>35</v>
      </c>
      <c r="M137" s="187">
        <v>40</v>
      </c>
      <c r="N137" s="187">
        <v>50</v>
      </c>
      <c r="O137" s="187">
        <v>70</v>
      </c>
      <c r="P137" s="187">
        <v>70</v>
      </c>
      <c r="Q137" s="187">
        <v>80</v>
      </c>
      <c r="R137" s="187">
        <v>80</v>
      </c>
      <c r="S137" s="187">
        <v>90</v>
      </c>
      <c r="T137" s="193">
        <v>100</v>
      </c>
      <c r="U137" s="774"/>
      <c r="V137" s="792"/>
      <c r="W137" s="792"/>
      <c r="X137" s="792"/>
      <c r="Y137" s="792"/>
    </row>
    <row r="138" spans="1:25" s="4" customFormat="1" ht="120" x14ac:dyDescent="0.3">
      <c r="A138" s="190" t="s">
        <v>817</v>
      </c>
      <c r="B138" s="189" t="s">
        <v>1031</v>
      </c>
      <c r="C138" s="188" t="s">
        <v>1297</v>
      </c>
      <c r="D138" s="187" t="s">
        <v>364</v>
      </c>
      <c r="E138" s="187" t="s">
        <v>378</v>
      </c>
      <c r="F138" s="192" t="s">
        <v>381</v>
      </c>
      <c r="G138" s="187" t="s">
        <v>62</v>
      </c>
      <c r="H138" s="187"/>
      <c r="I138" s="187"/>
      <c r="J138" s="187"/>
      <c r="K138" s="187"/>
      <c r="L138" s="187">
        <v>50</v>
      </c>
      <c r="M138" s="187">
        <v>75</v>
      </c>
      <c r="N138" s="187">
        <v>100</v>
      </c>
      <c r="O138" s="193"/>
      <c r="P138" s="193"/>
      <c r="Q138" s="193"/>
      <c r="R138" s="193"/>
      <c r="S138" s="193"/>
      <c r="T138" s="193"/>
      <c r="U138" s="181">
        <v>1000</v>
      </c>
      <c r="V138" s="180">
        <v>0</v>
      </c>
      <c r="W138" s="180">
        <v>0</v>
      </c>
      <c r="X138" s="180">
        <v>0</v>
      </c>
      <c r="Y138" s="180">
        <v>0</v>
      </c>
    </row>
    <row r="139" spans="1:25" s="4" customFormat="1" ht="72" x14ac:dyDescent="0.3">
      <c r="A139" s="190" t="s">
        <v>818</v>
      </c>
      <c r="B139" s="189" t="s">
        <v>382</v>
      </c>
      <c r="C139" s="188" t="s">
        <v>383</v>
      </c>
      <c r="D139" s="187" t="s">
        <v>364</v>
      </c>
      <c r="E139" s="187" t="s">
        <v>336</v>
      </c>
      <c r="F139" s="192" t="s">
        <v>384</v>
      </c>
      <c r="G139" s="187" t="s">
        <v>62</v>
      </c>
      <c r="H139" s="187"/>
      <c r="I139" s="187"/>
      <c r="J139" s="187"/>
      <c r="K139" s="187"/>
      <c r="L139" s="187">
        <v>75</v>
      </c>
      <c r="M139" s="187">
        <v>100</v>
      </c>
      <c r="N139" s="193"/>
      <c r="O139" s="193"/>
      <c r="P139" s="193"/>
      <c r="Q139" s="193"/>
      <c r="R139" s="193"/>
      <c r="S139" s="193"/>
      <c r="T139" s="193"/>
      <c r="U139" s="181">
        <v>750</v>
      </c>
      <c r="V139" s="180">
        <v>0</v>
      </c>
      <c r="W139" s="180">
        <v>0</v>
      </c>
      <c r="X139" s="180">
        <v>0</v>
      </c>
      <c r="Y139" s="180">
        <v>0</v>
      </c>
    </row>
    <row r="140" spans="1:25" s="4" customFormat="1" ht="360" x14ac:dyDescent="0.3">
      <c r="A140" s="190" t="s">
        <v>1401</v>
      </c>
      <c r="B140" s="74" t="s">
        <v>1402</v>
      </c>
      <c r="C140" s="74" t="s">
        <v>1403</v>
      </c>
      <c r="D140" s="187" t="s">
        <v>1404</v>
      </c>
      <c r="E140" s="193" t="s">
        <v>91</v>
      </c>
      <c r="F140" s="74" t="s">
        <v>1405</v>
      </c>
      <c r="G140" s="193" t="s">
        <v>62</v>
      </c>
      <c r="H140" s="193">
        <v>3.9</v>
      </c>
      <c r="I140" s="140">
        <v>2</v>
      </c>
      <c r="J140" s="193">
        <v>15.7</v>
      </c>
      <c r="K140" s="193">
        <v>11.8</v>
      </c>
      <c r="L140" s="193">
        <v>9.8000000000000007</v>
      </c>
      <c r="M140" s="193">
        <v>7.8</v>
      </c>
      <c r="N140" s="193">
        <v>5.9</v>
      </c>
      <c r="O140" s="193">
        <v>5.9</v>
      </c>
      <c r="P140" s="193">
        <v>3.9</v>
      </c>
      <c r="Q140" s="193">
        <v>3.9</v>
      </c>
      <c r="R140" s="193">
        <v>0</v>
      </c>
      <c r="S140" s="193">
        <v>0</v>
      </c>
      <c r="T140" s="193">
        <v>5.9</v>
      </c>
      <c r="U140" s="181">
        <v>2821.2000000000003</v>
      </c>
      <c r="V140" s="180">
        <v>2821.2000000000003</v>
      </c>
      <c r="W140" s="180">
        <v>0</v>
      </c>
      <c r="X140" s="180">
        <v>0</v>
      </c>
      <c r="Y140" s="180">
        <v>0</v>
      </c>
    </row>
    <row r="141" spans="1:25" ht="24" x14ac:dyDescent="0.3">
      <c r="A141" s="67" t="s">
        <v>267</v>
      </c>
      <c r="B141" s="946" t="s">
        <v>268</v>
      </c>
      <c r="C141" s="946"/>
      <c r="D141" s="946"/>
      <c r="E141" s="946"/>
      <c r="F141" s="946"/>
      <c r="G141" s="946"/>
      <c r="H141" s="946"/>
      <c r="I141" s="946"/>
      <c r="J141" s="946"/>
      <c r="K141" s="946"/>
      <c r="L141" s="946"/>
      <c r="M141" s="946"/>
      <c r="N141" s="946"/>
      <c r="O141" s="946"/>
      <c r="P141" s="946"/>
      <c r="Q141" s="946"/>
      <c r="R141" s="946"/>
      <c r="S141" s="946"/>
      <c r="T141" s="946"/>
      <c r="U141" s="56"/>
      <c r="V141" s="57"/>
      <c r="W141" s="57"/>
      <c r="X141" s="57"/>
      <c r="Y141" s="57"/>
    </row>
    <row r="142" spans="1:25" ht="24" x14ac:dyDescent="0.3">
      <c r="A142" s="66" t="s">
        <v>269</v>
      </c>
      <c r="B142" s="927" t="s">
        <v>270</v>
      </c>
      <c r="C142" s="927"/>
      <c r="D142" s="927"/>
      <c r="E142" s="927"/>
      <c r="F142" s="927"/>
      <c r="G142" s="927"/>
      <c r="H142" s="927"/>
      <c r="I142" s="927"/>
      <c r="J142" s="927"/>
      <c r="K142" s="927"/>
      <c r="L142" s="927"/>
      <c r="M142" s="927"/>
      <c r="N142" s="927"/>
      <c r="O142" s="927"/>
      <c r="P142" s="927"/>
      <c r="Q142" s="927"/>
      <c r="R142" s="927"/>
      <c r="S142" s="927"/>
      <c r="T142" s="927"/>
      <c r="U142" s="51"/>
      <c r="V142" s="52"/>
      <c r="W142" s="52"/>
      <c r="X142" s="52"/>
      <c r="Y142" s="52"/>
    </row>
    <row r="143" spans="1:25" s="4" customFormat="1" ht="144" x14ac:dyDescent="0.3">
      <c r="A143" s="190" t="s">
        <v>271</v>
      </c>
      <c r="B143" s="188" t="s">
        <v>272</v>
      </c>
      <c r="C143" s="188" t="s">
        <v>1298</v>
      </c>
      <c r="D143" s="187" t="s">
        <v>122</v>
      </c>
      <c r="E143" s="193" t="s">
        <v>273</v>
      </c>
      <c r="F143" s="192" t="s">
        <v>274</v>
      </c>
      <c r="G143" s="187" t="s">
        <v>74</v>
      </c>
      <c r="H143" s="193"/>
      <c r="I143" s="193">
        <v>1</v>
      </c>
      <c r="J143" s="193"/>
      <c r="K143" s="193"/>
      <c r="L143" s="193"/>
      <c r="M143" s="193"/>
      <c r="N143" s="193"/>
      <c r="O143" s="193"/>
      <c r="P143" s="193"/>
      <c r="Q143" s="193"/>
      <c r="R143" s="193"/>
      <c r="S143" s="193"/>
      <c r="T143" s="193"/>
      <c r="U143" s="181">
        <v>225</v>
      </c>
      <c r="V143" s="180">
        <v>0</v>
      </c>
      <c r="W143" s="180">
        <v>0</v>
      </c>
      <c r="X143" s="180">
        <v>225</v>
      </c>
      <c r="Y143" s="180">
        <v>0</v>
      </c>
    </row>
    <row r="144" spans="1:25" s="4" customFormat="1" ht="409.5" x14ac:dyDescent="0.3">
      <c r="A144" s="190" t="s">
        <v>275</v>
      </c>
      <c r="B144" s="189" t="s">
        <v>276</v>
      </c>
      <c r="C144" s="188" t="s">
        <v>277</v>
      </c>
      <c r="D144" s="187" t="s">
        <v>278</v>
      </c>
      <c r="E144" s="193" t="s">
        <v>52</v>
      </c>
      <c r="F144" s="192" t="s">
        <v>279</v>
      </c>
      <c r="G144" s="187" t="s">
        <v>74</v>
      </c>
      <c r="H144" s="187">
        <v>58</v>
      </c>
      <c r="I144" s="187">
        <v>63</v>
      </c>
      <c r="J144" s="187">
        <v>63</v>
      </c>
      <c r="K144" s="187">
        <v>63</v>
      </c>
      <c r="L144" s="187">
        <v>63</v>
      </c>
      <c r="M144" s="187">
        <v>63</v>
      </c>
      <c r="N144" s="187">
        <v>63</v>
      </c>
      <c r="O144" s="187">
        <v>63</v>
      </c>
      <c r="P144" s="187">
        <v>63</v>
      </c>
      <c r="Q144" s="187">
        <v>63</v>
      </c>
      <c r="R144" s="187">
        <v>63</v>
      </c>
      <c r="S144" s="187">
        <v>63</v>
      </c>
      <c r="T144" s="187">
        <v>63</v>
      </c>
      <c r="U144" s="181">
        <v>144014.39999999999</v>
      </c>
      <c r="V144" s="180">
        <v>144014.39999999999</v>
      </c>
      <c r="W144" s="180">
        <v>0</v>
      </c>
      <c r="X144" s="180">
        <v>0</v>
      </c>
      <c r="Y144" s="180">
        <v>0</v>
      </c>
    </row>
    <row r="145" spans="1:25" ht="24" x14ac:dyDescent="0.3">
      <c r="A145" s="66" t="s">
        <v>280</v>
      </c>
      <c r="B145" s="927" t="s">
        <v>281</v>
      </c>
      <c r="C145" s="927"/>
      <c r="D145" s="927"/>
      <c r="E145" s="927"/>
      <c r="F145" s="927"/>
      <c r="G145" s="927"/>
      <c r="H145" s="927"/>
      <c r="I145" s="927"/>
      <c r="J145" s="927"/>
      <c r="K145" s="927"/>
      <c r="L145" s="927"/>
      <c r="M145" s="927"/>
      <c r="N145" s="927"/>
      <c r="O145" s="927"/>
      <c r="P145" s="927"/>
      <c r="Q145" s="927"/>
      <c r="R145" s="927"/>
      <c r="S145" s="927"/>
      <c r="T145" s="927"/>
      <c r="U145" s="51"/>
      <c r="V145" s="52"/>
      <c r="W145" s="52"/>
      <c r="X145" s="52"/>
      <c r="Y145" s="52"/>
    </row>
    <row r="146" spans="1:25" s="4" customFormat="1" ht="196.5" customHeight="1" x14ac:dyDescent="0.3">
      <c r="A146" s="862" t="s">
        <v>282</v>
      </c>
      <c r="B146" s="864" t="s">
        <v>283</v>
      </c>
      <c r="C146" s="866" t="s">
        <v>1299</v>
      </c>
      <c r="D146" s="728" t="s">
        <v>284</v>
      </c>
      <c r="E146" s="193" t="s">
        <v>52</v>
      </c>
      <c r="F146" s="192" t="s">
        <v>285</v>
      </c>
      <c r="G146" s="187" t="s">
        <v>286</v>
      </c>
      <c r="H146" s="187">
        <v>728</v>
      </c>
      <c r="I146" s="187">
        <v>450</v>
      </c>
      <c r="J146" s="187">
        <v>450</v>
      </c>
      <c r="K146" s="187">
        <v>1110</v>
      </c>
      <c r="L146" s="187">
        <v>1110</v>
      </c>
      <c r="M146" s="187">
        <v>1110</v>
      </c>
      <c r="N146" s="187">
        <v>1110</v>
      </c>
      <c r="O146" s="187">
        <v>1110</v>
      </c>
      <c r="P146" s="187"/>
      <c r="Q146" s="187"/>
      <c r="R146" s="187"/>
      <c r="S146" s="187"/>
      <c r="T146" s="187"/>
      <c r="U146" s="773">
        <v>10759900</v>
      </c>
      <c r="V146" s="791">
        <v>7500</v>
      </c>
      <c r="W146" s="791">
        <v>226400</v>
      </c>
      <c r="X146" s="791">
        <v>0</v>
      </c>
      <c r="Y146" s="791">
        <v>1660000</v>
      </c>
    </row>
    <row r="147" spans="1:25" s="4" customFormat="1" ht="184.5" customHeight="1" x14ac:dyDescent="0.3">
      <c r="A147" s="863"/>
      <c r="B147" s="865"/>
      <c r="C147" s="865"/>
      <c r="D147" s="892"/>
      <c r="E147" s="193" t="s">
        <v>52</v>
      </c>
      <c r="F147" s="74" t="s">
        <v>287</v>
      </c>
      <c r="G147" s="193" t="s">
        <v>288</v>
      </c>
      <c r="H147" s="50">
        <v>372</v>
      </c>
      <c r="I147" s="50">
        <v>250</v>
      </c>
      <c r="J147" s="50">
        <v>250</v>
      </c>
      <c r="K147" s="50">
        <v>250</v>
      </c>
      <c r="L147" s="50">
        <v>500</v>
      </c>
      <c r="M147" s="50">
        <v>500</v>
      </c>
      <c r="N147" s="50">
        <v>500</v>
      </c>
      <c r="O147" s="50">
        <v>500</v>
      </c>
      <c r="P147" s="50"/>
      <c r="Q147" s="50"/>
      <c r="R147" s="50"/>
      <c r="S147" s="50"/>
      <c r="T147" s="50"/>
      <c r="U147" s="774"/>
      <c r="V147" s="792"/>
      <c r="W147" s="792"/>
      <c r="X147" s="792"/>
      <c r="Y147" s="792"/>
    </row>
    <row r="148" spans="1:25" ht="24" x14ac:dyDescent="0.3">
      <c r="A148" s="66" t="s">
        <v>289</v>
      </c>
      <c r="B148" s="927" t="s">
        <v>290</v>
      </c>
      <c r="C148" s="927"/>
      <c r="D148" s="927"/>
      <c r="E148" s="927"/>
      <c r="F148" s="927"/>
      <c r="G148" s="927"/>
      <c r="H148" s="927"/>
      <c r="I148" s="927"/>
      <c r="J148" s="927"/>
      <c r="K148" s="927"/>
      <c r="L148" s="927"/>
      <c r="M148" s="927"/>
      <c r="N148" s="927"/>
      <c r="O148" s="927"/>
      <c r="P148" s="927"/>
      <c r="Q148" s="927"/>
      <c r="R148" s="927"/>
      <c r="S148" s="927"/>
      <c r="T148" s="927"/>
      <c r="U148" s="51"/>
      <c r="V148" s="52"/>
      <c r="W148" s="52"/>
      <c r="X148" s="52"/>
      <c r="Y148" s="52"/>
    </row>
    <row r="149" spans="1:25" s="4" customFormat="1" ht="126" customHeight="1" x14ac:dyDescent="0.3">
      <c r="A149" s="190" t="s">
        <v>291</v>
      </c>
      <c r="B149" s="188" t="s">
        <v>292</v>
      </c>
      <c r="C149" s="188" t="s">
        <v>1300</v>
      </c>
      <c r="D149" s="187" t="s">
        <v>122</v>
      </c>
      <c r="E149" s="193" t="s">
        <v>52</v>
      </c>
      <c r="F149" s="192" t="s">
        <v>293</v>
      </c>
      <c r="G149" s="187" t="s">
        <v>74</v>
      </c>
      <c r="H149" s="193"/>
      <c r="I149" s="76">
        <v>11579</v>
      </c>
      <c r="J149" s="76"/>
      <c r="K149" s="76"/>
      <c r="L149" s="76"/>
      <c r="M149" s="76"/>
      <c r="N149" s="76"/>
      <c r="O149" s="76"/>
      <c r="P149" s="76"/>
      <c r="Q149" s="76"/>
      <c r="R149" s="76"/>
      <c r="S149" s="76"/>
      <c r="T149" s="76"/>
      <c r="U149" s="181">
        <v>0</v>
      </c>
      <c r="V149" s="180">
        <v>0</v>
      </c>
      <c r="W149" s="180">
        <v>0</v>
      </c>
      <c r="X149" s="180">
        <v>0</v>
      </c>
      <c r="Y149" s="180">
        <v>0</v>
      </c>
    </row>
    <row r="150" spans="1:25" s="4" customFormat="1" ht="192" x14ac:dyDescent="0.3">
      <c r="A150" s="190" t="s">
        <v>294</v>
      </c>
      <c r="B150" s="188" t="s">
        <v>1032</v>
      </c>
      <c r="C150" s="188" t="s">
        <v>1301</v>
      </c>
      <c r="D150" s="193" t="s">
        <v>295</v>
      </c>
      <c r="E150" s="193" t="s">
        <v>273</v>
      </c>
      <c r="F150" s="192" t="s">
        <v>296</v>
      </c>
      <c r="G150" s="187" t="s">
        <v>117</v>
      </c>
      <c r="H150" s="193"/>
      <c r="I150" s="187" t="s">
        <v>118</v>
      </c>
      <c r="J150" s="187" t="s">
        <v>118</v>
      </c>
      <c r="K150" s="187"/>
      <c r="L150" s="187"/>
      <c r="M150" s="187"/>
      <c r="N150" s="187"/>
      <c r="O150" s="187"/>
      <c r="P150" s="187"/>
      <c r="Q150" s="187"/>
      <c r="R150" s="187"/>
      <c r="S150" s="187"/>
      <c r="T150" s="187"/>
      <c r="U150" s="181">
        <v>0</v>
      </c>
      <c r="V150" s="180">
        <v>0</v>
      </c>
      <c r="W150" s="180">
        <v>0</v>
      </c>
      <c r="X150" s="180">
        <v>0</v>
      </c>
      <c r="Y150" s="180">
        <v>0</v>
      </c>
    </row>
    <row r="151" spans="1:25" s="4" customFormat="1" ht="120" x14ac:dyDescent="0.3">
      <c r="A151" s="190" t="s">
        <v>297</v>
      </c>
      <c r="B151" s="188" t="s">
        <v>298</v>
      </c>
      <c r="C151" s="188" t="s">
        <v>1302</v>
      </c>
      <c r="D151" s="193" t="s">
        <v>295</v>
      </c>
      <c r="E151" s="187" t="s">
        <v>52</v>
      </c>
      <c r="F151" s="192" t="s">
        <v>299</v>
      </c>
      <c r="G151" s="187" t="s">
        <v>117</v>
      </c>
      <c r="H151" s="193"/>
      <c r="I151" s="187" t="s">
        <v>118</v>
      </c>
      <c r="J151" s="187" t="s">
        <v>118</v>
      </c>
      <c r="K151" s="187" t="s">
        <v>118</v>
      </c>
      <c r="L151" s="187" t="s">
        <v>118</v>
      </c>
      <c r="M151" s="187" t="s">
        <v>118</v>
      </c>
      <c r="N151" s="187" t="s">
        <v>118</v>
      </c>
      <c r="O151" s="187" t="s">
        <v>118</v>
      </c>
      <c r="P151" s="187" t="s">
        <v>118</v>
      </c>
      <c r="Q151" s="187" t="s">
        <v>118</v>
      </c>
      <c r="R151" s="187" t="s">
        <v>118</v>
      </c>
      <c r="S151" s="187" t="s">
        <v>118</v>
      </c>
      <c r="T151" s="187" t="s">
        <v>118</v>
      </c>
      <c r="U151" s="181">
        <v>0</v>
      </c>
      <c r="V151" s="180">
        <v>0</v>
      </c>
      <c r="W151" s="180">
        <v>0</v>
      </c>
      <c r="X151" s="180">
        <v>0</v>
      </c>
      <c r="Y151" s="180">
        <v>0</v>
      </c>
    </row>
    <row r="152" spans="1:25" s="4" customFormat="1" ht="144" x14ac:dyDescent="0.3">
      <c r="A152" s="190" t="s">
        <v>300</v>
      </c>
      <c r="B152" s="188" t="s">
        <v>301</v>
      </c>
      <c r="C152" s="188" t="s">
        <v>1303</v>
      </c>
      <c r="D152" s="193" t="s">
        <v>295</v>
      </c>
      <c r="E152" s="193">
        <v>2019</v>
      </c>
      <c r="F152" s="192" t="s">
        <v>302</v>
      </c>
      <c r="G152" s="187" t="s">
        <v>117</v>
      </c>
      <c r="H152" s="193"/>
      <c r="I152" s="187" t="s">
        <v>118</v>
      </c>
      <c r="J152" s="187"/>
      <c r="K152" s="187"/>
      <c r="L152" s="187"/>
      <c r="M152" s="187"/>
      <c r="N152" s="187"/>
      <c r="O152" s="187"/>
      <c r="P152" s="187"/>
      <c r="Q152" s="187"/>
      <c r="R152" s="187"/>
      <c r="S152" s="187"/>
      <c r="T152" s="187"/>
      <c r="U152" s="181">
        <v>0</v>
      </c>
      <c r="V152" s="180">
        <v>0</v>
      </c>
      <c r="W152" s="180">
        <v>0</v>
      </c>
      <c r="X152" s="180">
        <v>0</v>
      </c>
      <c r="Y152" s="180">
        <v>0</v>
      </c>
    </row>
    <row r="153" spans="1:25" ht="24" x14ac:dyDescent="0.3">
      <c r="A153" s="66" t="s">
        <v>303</v>
      </c>
      <c r="B153" s="927" t="s">
        <v>304</v>
      </c>
      <c r="C153" s="927"/>
      <c r="D153" s="927"/>
      <c r="E153" s="927"/>
      <c r="F153" s="927"/>
      <c r="G153" s="927"/>
      <c r="H153" s="927"/>
      <c r="I153" s="927"/>
      <c r="J153" s="927"/>
      <c r="K153" s="927"/>
      <c r="L153" s="927"/>
      <c r="M153" s="927"/>
      <c r="N153" s="927"/>
      <c r="O153" s="927"/>
      <c r="P153" s="927"/>
      <c r="Q153" s="927"/>
      <c r="R153" s="927"/>
      <c r="S153" s="927"/>
      <c r="T153" s="927"/>
      <c r="U153" s="51"/>
      <c r="V153" s="52"/>
      <c r="W153" s="52"/>
      <c r="X153" s="52"/>
      <c r="Y153" s="52"/>
    </row>
    <row r="154" spans="1:25" s="4" customFormat="1" ht="144" x14ac:dyDescent="0.3">
      <c r="A154" s="173" t="s">
        <v>305</v>
      </c>
      <c r="B154" s="167" t="s">
        <v>306</v>
      </c>
      <c r="C154" s="167" t="s">
        <v>1304</v>
      </c>
      <c r="D154" s="160" t="s">
        <v>122</v>
      </c>
      <c r="E154" s="148" t="s">
        <v>52</v>
      </c>
      <c r="F154" s="192" t="s">
        <v>307</v>
      </c>
      <c r="G154" s="187" t="s">
        <v>62</v>
      </c>
      <c r="H154" s="193"/>
      <c r="I154" s="197">
        <v>72</v>
      </c>
      <c r="J154" s="197">
        <v>72</v>
      </c>
      <c r="K154" s="197">
        <v>72</v>
      </c>
      <c r="L154" s="197">
        <v>72</v>
      </c>
      <c r="M154" s="197">
        <v>72</v>
      </c>
      <c r="N154" s="197">
        <v>72</v>
      </c>
      <c r="O154" s="197">
        <v>72</v>
      </c>
      <c r="P154" s="197">
        <v>72</v>
      </c>
      <c r="Q154" s="197">
        <v>72</v>
      </c>
      <c r="R154" s="197">
        <v>72</v>
      </c>
      <c r="S154" s="197">
        <v>72</v>
      </c>
      <c r="T154" s="197">
        <v>72</v>
      </c>
      <c r="U154" s="181">
        <v>0</v>
      </c>
      <c r="V154" s="180">
        <v>0</v>
      </c>
      <c r="W154" s="180">
        <v>0</v>
      </c>
      <c r="X154" s="180">
        <v>0</v>
      </c>
      <c r="Y154" s="180">
        <v>0</v>
      </c>
    </row>
    <row r="155" spans="1:25" s="4" customFormat="1" ht="168" x14ac:dyDescent="0.3">
      <c r="A155" s="173" t="s">
        <v>1253</v>
      </c>
      <c r="B155" s="188" t="s">
        <v>309</v>
      </c>
      <c r="C155" s="188" t="s">
        <v>1306</v>
      </c>
      <c r="D155" s="187" t="s">
        <v>122</v>
      </c>
      <c r="E155" s="193">
        <v>2019</v>
      </c>
      <c r="F155" s="192" t="s">
        <v>310</v>
      </c>
      <c r="G155" s="187" t="s">
        <v>74</v>
      </c>
      <c r="H155" s="193"/>
      <c r="I155" s="193">
        <v>7</v>
      </c>
      <c r="J155" s="193"/>
      <c r="K155" s="193"/>
      <c r="L155" s="193"/>
      <c r="M155" s="193"/>
      <c r="N155" s="193"/>
      <c r="O155" s="193"/>
      <c r="P155" s="193"/>
      <c r="Q155" s="193"/>
      <c r="R155" s="193"/>
      <c r="S155" s="193"/>
      <c r="T155" s="193"/>
      <c r="U155" s="181">
        <v>511.3</v>
      </c>
      <c r="V155" s="180">
        <v>0</v>
      </c>
      <c r="W155" s="180">
        <v>511.3</v>
      </c>
      <c r="X155" s="180">
        <v>0</v>
      </c>
      <c r="Y155" s="180">
        <v>0</v>
      </c>
    </row>
    <row r="156" spans="1:25" s="4" customFormat="1" ht="144" x14ac:dyDescent="0.3">
      <c r="A156" s="173" t="s">
        <v>1096</v>
      </c>
      <c r="B156" s="74" t="s">
        <v>1406</v>
      </c>
      <c r="C156" s="74" t="s">
        <v>1407</v>
      </c>
      <c r="D156" s="187" t="s">
        <v>1404</v>
      </c>
      <c r="E156" s="193" t="s">
        <v>91</v>
      </c>
      <c r="F156" s="74" t="s">
        <v>1418</v>
      </c>
      <c r="G156" s="187" t="s">
        <v>74</v>
      </c>
      <c r="H156" s="193"/>
      <c r="I156" s="76">
        <v>2</v>
      </c>
      <c r="J156" s="193">
        <v>3</v>
      </c>
      <c r="K156" s="193">
        <v>3</v>
      </c>
      <c r="L156" s="193">
        <v>3</v>
      </c>
      <c r="M156" s="193">
        <v>3</v>
      </c>
      <c r="N156" s="193">
        <v>3</v>
      </c>
      <c r="O156" s="193">
        <v>3</v>
      </c>
      <c r="P156" s="193">
        <v>3</v>
      </c>
      <c r="Q156" s="193">
        <v>3</v>
      </c>
      <c r="R156" s="193">
        <v>3</v>
      </c>
      <c r="S156" s="193">
        <v>3</v>
      </c>
      <c r="T156" s="193">
        <v>3</v>
      </c>
      <c r="U156" s="181">
        <v>0</v>
      </c>
      <c r="V156" s="180">
        <v>0</v>
      </c>
      <c r="W156" s="180">
        <v>0</v>
      </c>
      <c r="X156" s="180">
        <v>0</v>
      </c>
      <c r="Y156" s="180">
        <v>0</v>
      </c>
    </row>
    <row r="157" spans="1:25" s="4" customFormat="1" ht="168" x14ac:dyDescent="0.3">
      <c r="A157" s="173" t="s">
        <v>815</v>
      </c>
      <c r="B157" s="74" t="s">
        <v>1420</v>
      </c>
      <c r="C157" s="74" t="s">
        <v>1421</v>
      </c>
      <c r="D157" s="193" t="s">
        <v>1422</v>
      </c>
      <c r="E157" s="193" t="s">
        <v>628</v>
      </c>
      <c r="F157" s="74" t="s">
        <v>1423</v>
      </c>
      <c r="G157" s="193" t="s">
        <v>1424</v>
      </c>
      <c r="H157" s="193"/>
      <c r="I157" s="193"/>
      <c r="J157" s="193"/>
      <c r="K157" s="193"/>
      <c r="L157" s="193"/>
      <c r="M157" s="193">
        <v>1</v>
      </c>
      <c r="N157" s="193">
        <v>1</v>
      </c>
      <c r="O157" s="193">
        <v>1</v>
      </c>
      <c r="P157" s="193">
        <v>1</v>
      </c>
      <c r="Q157" s="193">
        <v>1</v>
      </c>
      <c r="R157" s="193">
        <v>1</v>
      </c>
      <c r="S157" s="193">
        <v>1</v>
      </c>
      <c r="T157" s="193">
        <v>1</v>
      </c>
      <c r="U157" s="181">
        <v>0</v>
      </c>
      <c r="V157" s="180">
        <v>0</v>
      </c>
      <c r="W157" s="180">
        <v>0</v>
      </c>
      <c r="X157" s="180">
        <v>0</v>
      </c>
      <c r="Y157" s="180">
        <v>0</v>
      </c>
    </row>
    <row r="158" spans="1:25" s="4" customFormat="1" ht="168" x14ac:dyDescent="0.3">
      <c r="A158" s="173" t="s">
        <v>960</v>
      </c>
      <c r="B158" s="188" t="s">
        <v>320</v>
      </c>
      <c r="C158" s="188" t="s">
        <v>1305</v>
      </c>
      <c r="D158" s="187" t="s">
        <v>321</v>
      </c>
      <c r="E158" s="187" t="s">
        <v>322</v>
      </c>
      <c r="F158" s="192" t="s">
        <v>1014</v>
      </c>
      <c r="G158" s="187" t="s">
        <v>62</v>
      </c>
      <c r="H158" s="193"/>
      <c r="I158" s="193"/>
      <c r="J158" s="193">
        <v>10</v>
      </c>
      <c r="K158" s="193">
        <v>10</v>
      </c>
      <c r="L158" s="193">
        <v>50</v>
      </c>
      <c r="M158" s="193">
        <v>50</v>
      </c>
      <c r="N158" s="193">
        <v>50</v>
      </c>
      <c r="O158" s="193">
        <v>100</v>
      </c>
      <c r="P158" s="193"/>
      <c r="Q158" s="193"/>
      <c r="R158" s="193"/>
      <c r="S158" s="193"/>
      <c r="T158" s="193"/>
      <c r="U158" s="181">
        <v>0</v>
      </c>
      <c r="V158" s="180">
        <v>0</v>
      </c>
      <c r="W158" s="180">
        <v>0</v>
      </c>
      <c r="X158" s="180">
        <v>0</v>
      </c>
      <c r="Y158" s="180">
        <v>0</v>
      </c>
    </row>
    <row r="159" spans="1:25" s="4" customFormat="1" ht="336" x14ac:dyDescent="0.3">
      <c r="A159" s="173" t="s">
        <v>1408</v>
      </c>
      <c r="B159" s="188" t="s">
        <v>961</v>
      </c>
      <c r="C159" s="188" t="s">
        <v>1307</v>
      </c>
      <c r="D159" s="187" t="s">
        <v>962</v>
      </c>
      <c r="E159" s="193" t="s">
        <v>52</v>
      </c>
      <c r="F159" s="192" t="s">
        <v>308</v>
      </c>
      <c r="G159" s="187" t="s">
        <v>74</v>
      </c>
      <c r="H159" s="193">
        <v>338</v>
      </c>
      <c r="I159" s="76">
        <v>253</v>
      </c>
      <c r="J159" s="193">
        <v>253</v>
      </c>
      <c r="K159" s="193">
        <v>253</v>
      </c>
      <c r="L159" s="193">
        <v>253</v>
      </c>
      <c r="M159" s="193">
        <v>253</v>
      </c>
      <c r="N159" s="193">
        <v>253</v>
      </c>
      <c r="O159" s="193">
        <v>253</v>
      </c>
      <c r="P159" s="193">
        <v>253</v>
      </c>
      <c r="Q159" s="193">
        <v>253</v>
      </c>
      <c r="R159" s="193">
        <v>253</v>
      </c>
      <c r="S159" s="193">
        <v>253</v>
      </c>
      <c r="T159" s="193">
        <v>253</v>
      </c>
      <c r="U159" s="181">
        <v>96615.999999999985</v>
      </c>
      <c r="V159" s="180">
        <v>95038.799999999988</v>
      </c>
      <c r="W159" s="180">
        <v>2365.8000000000002</v>
      </c>
      <c r="X159" s="180">
        <v>0</v>
      </c>
      <c r="Y159" s="180">
        <v>0</v>
      </c>
    </row>
    <row r="160" spans="1:25" s="4" customFormat="1" ht="144" x14ac:dyDescent="0.3">
      <c r="A160" s="173" t="s">
        <v>1419</v>
      </c>
      <c r="B160" s="188" t="s">
        <v>963</v>
      </c>
      <c r="C160" s="188" t="s">
        <v>1308</v>
      </c>
      <c r="D160" s="187" t="s">
        <v>122</v>
      </c>
      <c r="E160" s="193" t="s">
        <v>124</v>
      </c>
      <c r="F160" s="192" t="s">
        <v>964</v>
      </c>
      <c r="G160" s="187" t="s">
        <v>74</v>
      </c>
      <c r="H160" s="193"/>
      <c r="I160" s="76">
        <v>35</v>
      </c>
      <c r="J160" s="76">
        <v>35</v>
      </c>
      <c r="K160" s="76">
        <v>35</v>
      </c>
      <c r="L160" s="76">
        <v>35</v>
      </c>
      <c r="M160" s="76">
        <v>35</v>
      </c>
      <c r="N160" s="76">
        <v>35</v>
      </c>
      <c r="O160" s="193"/>
      <c r="P160" s="193"/>
      <c r="Q160" s="193"/>
      <c r="R160" s="193"/>
      <c r="S160" s="193"/>
      <c r="T160" s="193"/>
      <c r="U160" s="181">
        <v>0</v>
      </c>
      <c r="V160" s="180">
        <v>0</v>
      </c>
      <c r="W160" s="180">
        <v>0</v>
      </c>
      <c r="X160" s="180">
        <v>0</v>
      </c>
      <c r="Y160" s="180">
        <v>0</v>
      </c>
    </row>
    <row r="161" spans="1:25" ht="24" x14ac:dyDescent="0.3">
      <c r="A161" s="66" t="s">
        <v>311</v>
      </c>
      <c r="B161" s="927" t="s">
        <v>312</v>
      </c>
      <c r="C161" s="927"/>
      <c r="D161" s="927"/>
      <c r="E161" s="927"/>
      <c r="F161" s="927"/>
      <c r="G161" s="927"/>
      <c r="H161" s="927"/>
      <c r="I161" s="927"/>
      <c r="J161" s="927"/>
      <c r="K161" s="927"/>
      <c r="L161" s="927"/>
      <c r="M161" s="927"/>
      <c r="N161" s="927"/>
      <c r="O161" s="927"/>
      <c r="P161" s="927"/>
      <c r="Q161" s="927"/>
      <c r="R161" s="927"/>
      <c r="S161" s="927"/>
      <c r="T161" s="927"/>
      <c r="U161" s="51"/>
      <c r="V161" s="52"/>
      <c r="W161" s="52"/>
      <c r="X161" s="52"/>
      <c r="Y161" s="52"/>
    </row>
    <row r="162" spans="1:25" s="4" customFormat="1" ht="96" x14ac:dyDescent="0.3">
      <c r="A162" s="796" t="s">
        <v>313</v>
      </c>
      <c r="B162" s="859" t="s">
        <v>314</v>
      </c>
      <c r="C162" s="859" t="s">
        <v>1200</v>
      </c>
      <c r="D162" s="728" t="s">
        <v>28</v>
      </c>
      <c r="E162" s="728" t="s">
        <v>315</v>
      </c>
      <c r="F162" s="192" t="s">
        <v>316</v>
      </c>
      <c r="G162" s="187" t="s">
        <v>62</v>
      </c>
      <c r="H162" s="193"/>
      <c r="I162" s="193"/>
      <c r="J162" s="193"/>
      <c r="K162" s="193"/>
      <c r="L162" s="193"/>
      <c r="M162" s="193"/>
      <c r="N162" s="193">
        <v>2</v>
      </c>
      <c r="O162" s="193">
        <v>20</v>
      </c>
      <c r="P162" s="193">
        <v>48</v>
      </c>
      <c r="Q162" s="193">
        <v>100</v>
      </c>
      <c r="R162" s="193"/>
      <c r="S162" s="193"/>
      <c r="T162" s="193"/>
      <c r="U162" s="773">
        <v>1200000</v>
      </c>
      <c r="V162" s="791">
        <v>0</v>
      </c>
      <c r="W162" s="791">
        <v>1200000</v>
      </c>
      <c r="X162" s="791">
        <v>0</v>
      </c>
      <c r="Y162" s="791">
        <v>0</v>
      </c>
    </row>
    <row r="163" spans="1:25" s="4" customFormat="1" ht="96" x14ac:dyDescent="0.3">
      <c r="A163" s="851"/>
      <c r="B163" s="860"/>
      <c r="C163" s="860"/>
      <c r="D163" s="734"/>
      <c r="E163" s="734"/>
      <c r="F163" s="192" t="s">
        <v>1003</v>
      </c>
      <c r="G163" s="187" t="s">
        <v>62</v>
      </c>
      <c r="H163" s="187">
        <v>97.4</v>
      </c>
      <c r="I163" s="187">
        <v>100</v>
      </c>
      <c r="J163" s="187">
        <v>100</v>
      </c>
      <c r="K163" s="187">
        <v>100</v>
      </c>
      <c r="L163" s="187">
        <v>100</v>
      </c>
      <c r="M163" s="187">
        <v>100</v>
      </c>
      <c r="N163" s="187">
        <v>100</v>
      </c>
      <c r="O163" s="187">
        <v>100</v>
      </c>
      <c r="P163" s="187">
        <v>100</v>
      </c>
      <c r="Q163" s="187">
        <v>100</v>
      </c>
      <c r="R163" s="187">
        <v>100</v>
      </c>
      <c r="S163" s="187">
        <v>100</v>
      </c>
      <c r="T163" s="187">
        <v>100</v>
      </c>
      <c r="U163" s="799"/>
      <c r="V163" s="795"/>
      <c r="W163" s="795"/>
      <c r="X163" s="795"/>
      <c r="Y163" s="795"/>
    </row>
    <row r="164" spans="1:25" s="4" customFormat="1" ht="72" x14ac:dyDescent="0.3">
      <c r="A164" s="797"/>
      <c r="B164" s="861"/>
      <c r="C164" s="861"/>
      <c r="D164" s="729"/>
      <c r="E164" s="729"/>
      <c r="F164" s="192" t="s">
        <v>1004</v>
      </c>
      <c r="G164" s="187" t="s">
        <v>62</v>
      </c>
      <c r="H164" s="187">
        <v>98.9</v>
      </c>
      <c r="I164" s="187">
        <v>99</v>
      </c>
      <c r="J164" s="187">
        <v>99</v>
      </c>
      <c r="K164" s="187">
        <v>99</v>
      </c>
      <c r="L164" s="187">
        <v>99.1</v>
      </c>
      <c r="M164" s="187">
        <v>99.1</v>
      </c>
      <c r="N164" s="187">
        <v>99.1</v>
      </c>
      <c r="O164" s="187">
        <v>99.2</v>
      </c>
      <c r="P164" s="187">
        <v>99.3</v>
      </c>
      <c r="Q164" s="187">
        <v>99.3</v>
      </c>
      <c r="R164" s="187">
        <v>99.4</v>
      </c>
      <c r="S164" s="187">
        <v>99.4</v>
      </c>
      <c r="T164" s="187">
        <v>99.5</v>
      </c>
      <c r="U164" s="774"/>
      <c r="V164" s="792"/>
      <c r="W164" s="792"/>
      <c r="X164" s="792"/>
      <c r="Y164" s="792"/>
    </row>
    <row r="165" spans="1:25" s="4" customFormat="1" ht="168" x14ac:dyDescent="0.3">
      <c r="A165" s="47" t="s">
        <v>317</v>
      </c>
      <c r="B165" s="188" t="s">
        <v>318</v>
      </c>
      <c r="C165" s="188" t="s">
        <v>1309</v>
      </c>
      <c r="D165" s="187" t="s">
        <v>319</v>
      </c>
      <c r="E165" s="187">
        <v>2024</v>
      </c>
      <c r="F165" s="192" t="s">
        <v>1005</v>
      </c>
      <c r="G165" s="187" t="s">
        <v>62</v>
      </c>
      <c r="H165" s="193"/>
      <c r="I165" s="193"/>
      <c r="J165" s="193"/>
      <c r="K165" s="193"/>
      <c r="L165" s="193"/>
      <c r="M165" s="193"/>
      <c r="N165" s="193">
        <v>100</v>
      </c>
      <c r="O165" s="193"/>
      <c r="P165" s="193"/>
      <c r="Q165" s="193"/>
      <c r="R165" s="193"/>
      <c r="S165" s="193"/>
      <c r="T165" s="193"/>
      <c r="U165" s="181">
        <v>500</v>
      </c>
      <c r="V165" s="180">
        <v>0</v>
      </c>
      <c r="W165" s="180">
        <v>500</v>
      </c>
      <c r="X165" s="180">
        <v>0</v>
      </c>
      <c r="Y165" s="180">
        <v>0</v>
      </c>
    </row>
    <row r="166" spans="1:25" s="4" customFormat="1" ht="216" x14ac:dyDescent="0.3">
      <c r="A166" s="47" t="s">
        <v>1254</v>
      </c>
      <c r="B166" s="188" t="s">
        <v>840</v>
      </c>
      <c r="C166" s="188" t="s">
        <v>1310</v>
      </c>
      <c r="D166" s="187" t="s">
        <v>1033</v>
      </c>
      <c r="E166" s="187" t="s">
        <v>209</v>
      </c>
      <c r="F166" s="192" t="s">
        <v>1013</v>
      </c>
      <c r="G166" s="187" t="s">
        <v>62</v>
      </c>
      <c r="H166" s="193"/>
      <c r="I166" s="193"/>
      <c r="J166" s="193"/>
      <c r="K166" s="193"/>
      <c r="L166" s="193"/>
      <c r="M166" s="193"/>
      <c r="N166" s="193"/>
      <c r="O166" s="193">
        <v>50</v>
      </c>
      <c r="P166" s="193">
        <v>100</v>
      </c>
      <c r="Q166" s="193"/>
      <c r="R166" s="193"/>
      <c r="S166" s="193"/>
      <c r="T166" s="193"/>
      <c r="U166" s="181">
        <v>0</v>
      </c>
      <c r="V166" s="180">
        <v>0</v>
      </c>
      <c r="W166" s="180">
        <v>0</v>
      </c>
      <c r="X166" s="180">
        <v>0</v>
      </c>
      <c r="Y166" s="180">
        <v>0</v>
      </c>
    </row>
    <row r="167" spans="1:25" s="4" customFormat="1" ht="192" x14ac:dyDescent="0.3">
      <c r="A167" s="47" t="s">
        <v>1097</v>
      </c>
      <c r="B167" s="188" t="s">
        <v>339</v>
      </c>
      <c r="C167" s="188" t="s">
        <v>1311</v>
      </c>
      <c r="D167" s="187" t="s">
        <v>329</v>
      </c>
      <c r="E167" s="187" t="s">
        <v>1193</v>
      </c>
      <c r="F167" s="192" t="s">
        <v>1008</v>
      </c>
      <c r="G167" s="187" t="s">
        <v>62</v>
      </c>
      <c r="H167" s="193"/>
      <c r="I167" s="193"/>
      <c r="J167" s="193"/>
      <c r="K167" s="193"/>
      <c r="L167" s="193"/>
      <c r="M167" s="193"/>
      <c r="N167" s="193">
        <v>30</v>
      </c>
      <c r="O167" s="193">
        <v>70</v>
      </c>
      <c r="P167" s="193"/>
      <c r="Q167" s="193"/>
      <c r="R167" s="193"/>
      <c r="S167" s="193"/>
      <c r="T167" s="193"/>
      <c r="U167" s="181">
        <v>640</v>
      </c>
      <c r="V167" s="180">
        <v>0</v>
      </c>
      <c r="W167" s="180">
        <v>640</v>
      </c>
      <c r="X167" s="180">
        <v>0</v>
      </c>
      <c r="Y167" s="180">
        <v>0</v>
      </c>
    </row>
    <row r="168" spans="1:25" s="4" customFormat="1" ht="216" x14ac:dyDescent="0.3">
      <c r="A168" s="47" t="s">
        <v>324</v>
      </c>
      <c r="B168" s="188" t="s">
        <v>331</v>
      </c>
      <c r="C168" s="188" t="s">
        <v>1257</v>
      </c>
      <c r="D168" s="187" t="s">
        <v>329</v>
      </c>
      <c r="E168" s="187">
        <v>2025</v>
      </c>
      <c r="F168" s="192" t="s">
        <v>1009</v>
      </c>
      <c r="G168" s="187" t="s">
        <v>62</v>
      </c>
      <c r="H168" s="193"/>
      <c r="I168" s="193"/>
      <c r="J168" s="193"/>
      <c r="K168" s="193"/>
      <c r="L168" s="193"/>
      <c r="M168" s="193"/>
      <c r="N168" s="193"/>
      <c r="O168" s="193">
        <v>100</v>
      </c>
      <c r="P168" s="193"/>
      <c r="Q168" s="193"/>
      <c r="R168" s="193"/>
      <c r="S168" s="193"/>
      <c r="T168" s="193"/>
      <c r="U168" s="181">
        <v>1300</v>
      </c>
      <c r="V168" s="180">
        <v>0</v>
      </c>
      <c r="W168" s="180">
        <v>1300</v>
      </c>
      <c r="X168" s="180">
        <v>0</v>
      </c>
      <c r="Y168" s="180">
        <v>0</v>
      </c>
    </row>
    <row r="169" spans="1:25" s="4" customFormat="1" ht="264" x14ac:dyDescent="0.3">
      <c r="A169" s="47" t="s">
        <v>1255</v>
      </c>
      <c r="B169" s="188" t="s">
        <v>332</v>
      </c>
      <c r="C169" s="188" t="s">
        <v>1256</v>
      </c>
      <c r="D169" s="187" t="s">
        <v>329</v>
      </c>
      <c r="E169" s="187" t="s">
        <v>333</v>
      </c>
      <c r="F169" s="192" t="s">
        <v>323</v>
      </c>
      <c r="G169" s="187" t="s">
        <v>62</v>
      </c>
      <c r="H169" s="193"/>
      <c r="I169" s="193"/>
      <c r="J169" s="193"/>
      <c r="K169" s="193">
        <v>20</v>
      </c>
      <c r="L169" s="193">
        <v>80</v>
      </c>
      <c r="M169" s="193"/>
      <c r="N169" s="193"/>
      <c r="O169" s="193"/>
      <c r="P169" s="193"/>
      <c r="Q169" s="193"/>
      <c r="R169" s="193"/>
      <c r="S169" s="193"/>
      <c r="T169" s="193"/>
      <c r="U169" s="181">
        <v>865</v>
      </c>
      <c r="V169" s="180">
        <v>0</v>
      </c>
      <c r="W169" s="180">
        <v>865</v>
      </c>
      <c r="X169" s="180">
        <v>0</v>
      </c>
      <c r="Y169" s="180">
        <v>0</v>
      </c>
    </row>
    <row r="170" spans="1:25" s="4" customFormat="1" ht="409.5" x14ac:dyDescent="0.3">
      <c r="A170" s="47" t="s">
        <v>326</v>
      </c>
      <c r="B170" s="188" t="s">
        <v>334</v>
      </c>
      <c r="C170" s="188" t="s">
        <v>335</v>
      </c>
      <c r="D170" s="187" t="s">
        <v>329</v>
      </c>
      <c r="E170" s="187" t="s">
        <v>217</v>
      </c>
      <c r="F170" s="192" t="s">
        <v>1010</v>
      </c>
      <c r="G170" s="187" t="s">
        <v>62</v>
      </c>
      <c r="H170" s="193"/>
      <c r="I170" s="193"/>
      <c r="J170" s="193"/>
      <c r="K170" s="193"/>
      <c r="L170" s="193">
        <v>50</v>
      </c>
      <c r="M170" s="193">
        <v>50</v>
      </c>
      <c r="N170" s="193"/>
      <c r="O170" s="193"/>
      <c r="P170" s="193"/>
      <c r="Q170" s="193"/>
      <c r="R170" s="193"/>
      <c r="S170" s="193"/>
      <c r="T170" s="193"/>
      <c r="U170" s="181">
        <v>900</v>
      </c>
      <c r="V170" s="180">
        <v>0</v>
      </c>
      <c r="W170" s="180">
        <v>900</v>
      </c>
      <c r="X170" s="180">
        <v>0</v>
      </c>
      <c r="Y170" s="180">
        <v>0</v>
      </c>
    </row>
    <row r="171" spans="1:25" s="4" customFormat="1" ht="240" x14ac:dyDescent="0.3">
      <c r="A171" s="47" t="s">
        <v>1098</v>
      </c>
      <c r="B171" s="188" t="s">
        <v>337</v>
      </c>
      <c r="C171" s="188" t="s">
        <v>338</v>
      </c>
      <c r="D171" s="187" t="s">
        <v>329</v>
      </c>
      <c r="E171" s="187" t="s">
        <v>217</v>
      </c>
      <c r="F171" s="192" t="s">
        <v>1011</v>
      </c>
      <c r="G171" s="187" t="s">
        <v>62</v>
      </c>
      <c r="H171" s="193"/>
      <c r="I171" s="193"/>
      <c r="J171" s="193"/>
      <c r="K171" s="193"/>
      <c r="L171" s="193"/>
      <c r="M171" s="193">
        <v>50</v>
      </c>
      <c r="N171" s="193">
        <v>50</v>
      </c>
      <c r="O171" s="193"/>
      <c r="P171" s="193"/>
      <c r="Q171" s="193"/>
      <c r="R171" s="193"/>
      <c r="S171" s="193"/>
      <c r="T171" s="193"/>
      <c r="U171" s="181">
        <v>400</v>
      </c>
      <c r="V171" s="180">
        <v>0</v>
      </c>
      <c r="W171" s="180">
        <v>400</v>
      </c>
      <c r="X171" s="180">
        <v>0</v>
      </c>
      <c r="Y171" s="180">
        <v>0</v>
      </c>
    </row>
    <row r="172" spans="1:25" s="4" customFormat="1" ht="120" x14ac:dyDescent="0.3">
      <c r="A172" s="47" t="s">
        <v>327</v>
      </c>
      <c r="B172" s="188" t="s">
        <v>340</v>
      </c>
      <c r="C172" s="188" t="s">
        <v>341</v>
      </c>
      <c r="D172" s="187" t="s">
        <v>329</v>
      </c>
      <c r="E172" s="187">
        <v>2021</v>
      </c>
      <c r="F172" s="192" t="s">
        <v>1012</v>
      </c>
      <c r="G172" s="187" t="s">
        <v>62</v>
      </c>
      <c r="H172" s="193"/>
      <c r="I172" s="193"/>
      <c r="J172" s="193"/>
      <c r="K172" s="193">
        <v>50</v>
      </c>
      <c r="L172" s="193">
        <v>70</v>
      </c>
      <c r="M172" s="193">
        <v>100</v>
      </c>
      <c r="N172" s="193"/>
      <c r="O172" s="193"/>
      <c r="P172" s="193"/>
      <c r="Q172" s="193"/>
      <c r="R172" s="193"/>
      <c r="S172" s="193"/>
      <c r="T172" s="193"/>
      <c r="U172" s="181">
        <v>57</v>
      </c>
      <c r="V172" s="180">
        <v>0</v>
      </c>
      <c r="W172" s="180">
        <v>57</v>
      </c>
      <c r="X172" s="180">
        <v>0</v>
      </c>
      <c r="Y172" s="180">
        <v>0</v>
      </c>
    </row>
    <row r="173" spans="1:25" s="4" customFormat="1" ht="240" x14ac:dyDescent="0.3">
      <c r="A173" s="47" t="s">
        <v>328</v>
      </c>
      <c r="B173" s="188" t="s">
        <v>923</v>
      </c>
      <c r="C173" s="188" t="s">
        <v>1258</v>
      </c>
      <c r="D173" s="187" t="s">
        <v>813</v>
      </c>
      <c r="E173" s="187" t="s">
        <v>52</v>
      </c>
      <c r="F173" s="192" t="s">
        <v>924</v>
      </c>
      <c r="G173" s="187" t="s">
        <v>62</v>
      </c>
      <c r="H173" s="193">
        <v>100</v>
      </c>
      <c r="I173" s="193">
        <v>100</v>
      </c>
      <c r="J173" s="193">
        <v>100</v>
      </c>
      <c r="K173" s="193">
        <v>100</v>
      </c>
      <c r="L173" s="193">
        <v>100</v>
      </c>
      <c r="M173" s="193">
        <v>100</v>
      </c>
      <c r="N173" s="193">
        <v>100</v>
      </c>
      <c r="O173" s="193">
        <v>100</v>
      </c>
      <c r="P173" s="193">
        <v>100</v>
      </c>
      <c r="Q173" s="193">
        <v>100</v>
      </c>
      <c r="R173" s="193">
        <v>100</v>
      </c>
      <c r="S173" s="193">
        <v>100</v>
      </c>
      <c r="T173" s="193">
        <v>100</v>
      </c>
      <c r="U173" s="181">
        <v>33658.800000000003</v>
      </c>
      <c r="V173" s="180">
        <v>29058</v>
      </c>
      <c r="W173" s="180">
        <v>2923.3</v>
      </c>
      <c r="X173" s="180">
        <v>1677.5</v>
      </c>
      <c r="Y173" s="180">
        <v>0</v>
      </c>
    </row>
    <row r="174" spans="1:25" ht="24" x14ac:dyDescent="0.3">
      <c r="A174" s="78">
        <v>2</v>
      </c>
      <c r="B174" s="951" t="s">
        <v>343</v>
      </c>
      <c r="C174" s="951"/>
      <c r="D174" s="951"/>
      <c r="E174" s="951"/>
      <c r="F174" s="951"/>
      <c r="G174" s="951"/>
      <c r="H174" s="951"/>
      <c r="I174" s="951"/>
      <c r="J174" s="951"/>
      <c r="K174" s="951"/>
      <c r="L174" s="951"/>
      <c r="M174" s="951"/>
      <c r="N174" s="951"/>
      <c r="O174" s="951"/>
      <c r="P174" s="951"/>
      <c r="Q174" s="951"/>
      <c r="R174" s="951"/>
      <c r="S174" s="951"/>
      <c r="T174" s="951"/>
      <c r="U174" s="200"/>
      <c r="V174" s="79"/>
      <c r="W174" s="79"/>
      <c r="X174" s="79"/>
      <c r="Y174" s="79"/>
    </row>
    <row r="175" spans="1:25" ht="24" x14ac:dyDescent="0.3">
      <c r="A175" s="67" t="s">
        <v>344</v>
      </c>
      <c r="B175" s="946" t="s">
        <v>345</v>
      </c>
      <c r="C175" s="946"/>
      <c r="D175" s="946"/>
      <c r="E175" s="946"/>
      <c r="F175" s="946"/>
      <c r="G175" s="946"/>
      <c r="H175" s="946"/>
      <c r="I175" s="946"/>
      <c r="J175" s="946"/>
      <c r="K175" s="946"/>
      <c r="L175" s="946"/>
      <c r="M175" s="946"/>
      <c r="N175" s="946"/>
      <c r="O175" s="946"/>
      <c r="P175" s="946"/>
      <c r="Q175" s="946"/>
      <c r="R175" s="946"/>
      <c r="S175" s="946"/>
      <c r="T175" s="946"/>
      <c r="U175" s="56"/>
      <c r="V175" s="57"/>
      <c r="W175" s="57"/>
      <c r="X175" s="57"/>
      <c r="Y175" s="57"/>
    </row>
    <row r="176" spans="1:25" ht="111.75" customHeight="1" x14ac:dyDescent="0.3">
      <c r="A176" s="90" t="s">
        <v>346</v>
      </c>
      <c r="B176" s="948" t="s">
        <v>1233</v>
      </c>
      <c r="C176" s="949"/>
      <c r="D176" s="949"/>
      <c r="E176" s="950"/>
      <c r="F176" s="178" t="s">
        <v>1413</v>
      </c>
      <c r="G176" s="143" t="s">
        <v>1414</v>
      </c>
      <c r="H176" s="143">
        <v>2</v>
      </c>
      <c r="I176" s="143">
        <v>40</v>
      </c>
      <c r="J176" s="143">
        <v>40</v>
      </c>
      <c r="K176" s="143">
        <v>40</v>
      </c>
      <c r="L176" s="143">
        <v>40</v>
      </c>
      <c r="M176" s="143">
        <v>40</v>
      </c>
      <c r="N176" s="143">
        <v>40</v>
      </c>
      <c r="O176" s="143">
        <v>40</v>
      </c>
      <c r="P176" s="143">
        <v>40</v>
      </c>
      <c r="Q176" s="143">
        <v>40</v>
      </c>
      <c r="R176" s="143">
        <v>40</v>
      </c>
      <c r="S176" s="143">
        <v>40</v>
      </c>
      <c r="T176" s="143">
        <v>40</v>
      </c>
      <c r="U176" s="51"/>
      <c r="V176" s="52"/>
      <c r="W176" s="52"/>
      <c r="X176" s="52"/>
      <c r="Y176" s="52"/>
    </row>
    <row r="177" spans="1:25" s="4" customFormat="1" ht="252.75" customHeight="1" x14ac:dyDescent="0.3">
      <c r="A177" s="796" t="s">
        <v>347</v>
      </c>
      <c r="B177" s="804" t="s">
        <v>1034</v>
      </c>
      <c r="C177" s="859" t="s">
        <v>867</v>
      </c>
      <c r="D177" s="728" t="s">
        <v>348</v>
      </c>
      <c r="E177" s="193" t="s">
        <v>144</v>
      </c>
      <c r="F177" s="192" t="s">
        <v>835</v>
      </c>
      <c r="G177" s="187" t="s">
        <v>349</v>
      </c>
      <c r="H177" s="193"/>
      <c r="I177" s="193">
        <v>1</v>
      </c>
      <c r="J177" s="193">
        <v>4</v>
      </c>
      <c r="K177" s="193">
        <v>4</v>
      </c>
      <c r="L177" s="193">
        <v>3</v>
      </c>
      <c r="M177" s="193"/>
      <c r="N177" s="193"/>
      <c r="O177" s="193"/>
      <c r="P177" s="193"/>
      <c r="Q177" s="193"/>
      <c r="R177" s="193"/>
      <c r="S177" s="193"/>
      <c r="T177" s="193"/>
      <c r="U177" s="773">
        <v>96500</v>
      </c>
      <c r="V177" s="791">
        <v>0</v>
      </c>
      <c r="W177" s="791">
        <v>96500</v>
      </c>
      <c r="X177" s="791">
        <v>0</v>
      </c>
      <c r="Y177" s="791">
        <v>0</v>
      </c>
    </row>
    <row r="178" spans="1:25" s="4" customFormat="1" ht="283.5" customHeight="1" x14ac:dyDescent="0.3">
      <c r="A178" s="797"/>
      <c r="B178" s="805"/>
      <c r="C178" s="861"/>
      <c r="D178" s="729"/>
      <c r="E178" s="193" t="s">
        <v>52</v>
      </c>
      <c r="F178" s="119" t="s">
        <v>350</v>
      </c>
      <c r="G178" s="187" t="s">
        <v>62</v>
      </c>
      <c r="H178" s="193"/>
      <c r="I178" s="193">
        <v>85</v>
      </c>
      <c r="J178" s="193">
        <v>85</v>
      </c>
      <c r="K178" s="193">
        <v>85</v>
      </c>
      <c r="L178" s="193">
        <v>85</v>
      </c>
      <c r="M178" s="193">
        <v>85</v>
      </c>
      <c r="N178" s="193">
        <v>85</v>
      </c>
      <c r="O178" s="193">
        <v>90</v>
      </c>
      <c r="P178" s="193">
        <v>90</v>
      </c>
      <c r="Q178" s="193">
        <v>90</v>
      </c>
      <c r="R178" s="193">
        <v>95</v>
      </c>
      <c r="S178" s="193">
        <v>95</v>
      </c>
      <c r="T178" s="193">
        <v>100</v>
      </c>
      <c r="U178" s="774"/>
      <c r="V178" s="792"/>
      <c r="W178" s="792"/>
      <c r="X178" s="792"/>
      <c r="Y178" s="792"/>
    </row>
    <row r="179" spans="1:25" s="4" customFormat="1" ht="96" x14ac:dyDescent="0.3">
      <c r="A179" s="171" t="s">
        <v>351</v>
      </c>
      <c r="B179" s="169" t="s">
        <v>838</v>
      </c>
      <c r="C179" s="188" t="s">
        <v>865</v>
      </c>
      <c r="D179" s="187" t="s">
        <v>352</v>
      </c>
      <c r="E179" s="193" t="s">
        <v>353</v>
      </c>
      <c r="F179" s="192" t="s">
        <v>839</v>
      </c>
      <c r="G179" s="187" t="s">
        <v>349</v>
      </c>
      <c r="H179" s="193"/>
      <c r="I179" s="193"/>
      <c r="J179" s="193">
        <v>1</v>
      </c>
      <c r="K179" s="193">
        <v>2</v>
      </c>
      <c r="L179" s="193">
        <v>1</v>
      </c>
      <c r="M179" s="193"/>
      <c r="N179" s="193"/>
      <c r="O179" s="193"/>
      <c r="P179" s="193"/>
      <c r="Q179" s="193"/>
      <c r="R179" s="193"/>
      <c r="S179" s="193"/>
      <c r="T179" s="193"/>
      <c r="U179" s="181">
        <v>4000</v>
      </c>
      <c r="V179" s="180">
        <v>4000</v>
      </c>
      <c r="W179" s="180">
        <v>0</v>
      </c>
      <c r="X179" s="180">
        <v>0</v>
      </c>
      <c r="Y179" s="180">
        <v>0</v>
      </c>
    </row>
    <row r="180" spans="1:25" s="4" customFormat="1" ht="96" x14ac:dyDescent="0.3">
      <c r="A180" s="47" t="s">
        <v>354</v>
      </c>
      <c r="B180" s="189" t="s">
        <v>355</v>
      </c>
      <c r="C180" s="188" t="s">
        <v>866</v>
      </c>
      <c r="D180" s="187" t="s">
        <v>352</v>
      </c>
      <c r="E180" s="193" t="s">
        <v>152</v>
      </c>
      <c r="F180" s="73" t="s">
        <v>356</v>
      </c>
      <c r="G180" s="187" t="s">
        <v>62</v>
      </c>
      <c r="H180" s="193"/>
      <c r="I180" s="193">
        <v>31.5</v>
      </c>
      <c r="J180" s="193">
        <v>60</v>
      </c>
      <c r="K180" s="193">
        <v>100</v>
      </c>
      <c r="L180" s="193">
        <v>100</v>
      </c>
      <c r="M180" s="193">
        <v>100</v>
      </c>
      <c r="N180" s="193">
        <v>100</v>
      </c>
      <c r="O180" s="193">
        <v>100</v>
      </c>
      <c r="P180" s="193">
        <v>100</v>
      </c>
      <c r="Q180" s="193">
        <v>100</v>
      </c>
      <c r="R180" s="193">
        <v>100</v>
      </c>
      <c r="S180" s="193">
        <v>100</v>
      </c>
      <c r="T180" s="193">
        <v>100</v>
      </c>
      <c r="U180" s="181">
        <v>95500</v>
      </c>
      <c r="V180" s="180">
        <v>95500</v>
      </c>
      <c r="W180" s="180">
        <v>0</v>
      </c>
      <c r="X180" s="180">
        <v>0</v>
      </c>
      <c r="Y180" s="180">
        <v>0</v>
      </c>
    </row>
    <row r="181" spans="1:25" s="4" customFormat="1" ht="96" x14ac:dyDescent="0.3">
      <c r="A181" s="796" t="s">
        <v>357</v>
      </c>
      <c r="B181" s="804" t="s">
        <v>358</v>
      </c>
      <c r="C181" s="188" t="s">
        <v>863</v>
      </c>
      <c r="D181" s="187" t="s">
        <v>1167</v>
      </c>
      <c r="E181" s="187" t="s">
        <v>325</v>
      </c>
      <c r="F181" s="192" t="s">
        <v>359</v>
      </c>
      <c r="G181" s="43" t="s">
        <v>62</v>
      </c>
      <c r="H181" s="193"/>
      <c r="I181" s="193"/>
      <c r="J181" s="187"/>
      <c r="K181" s="187">
        <v>10</v>
      </c>
      <c r="L181" s="187">
        <v>50</v>
      </c>
      <c r="M181" s="187">
        <v>100</v>
      </c>
      <c r="N181" s="187"/>
      <c r="O181" s="187"/>
      <c r="P181" s="193"/>
      <c r="Q181" s="193"/>
      <c r="R181" s="193"/>
      <c r="S181" s="193"/>
      <c r="T181" s="193"/>
      <c r="U181" s="181">
        <v>85000</v>
      </c>
      <c r="V181" s="180">
        <v>0</v>
      </c>
      <c r="W181" s="180">
        <v>0</v>
      </c>
      <c r="X181" s="180">
        <v>0</v>
      </c>
      <c r="Y181" s="180">
        <v>0</v>
      </c>
    </row>
    <row r="182" spans="1:25" s="4" customFormat="1" ht="96" x14ac:dyDescent="0.3">
      <c r="A182" s="797"/>
      <c r="B182" s="805"/>
      <c r="C182" s="188" t="s">
        <v>864</v>
      </c>
      <c r="D182" s="187" t="s">
        <v>1167</v>
      </c>
      <c r="E182" s="187" t="s">
        <v>1211</v>
      </c>
      <c r="F182" s="192" t="s">
        <v>359</v>
      </c>
      <c r="G182" s="43" t="s">
        <v>62</v>
      </c>
      <c r="H182" s="193"/>
      <c r="I182" s="193"/>
      <c r="J182" s="187"/>
      <c r="K182" s="187">
        <v>10</v>
      </c>
      <c r="L182" s="187">
        <v>20</v>
      </c>
      <c r="M182" s="187">
        <v>40</v>
      </c>
      <c r="N182" s="187">
        <v>60</v>
      </c>
      <c r="O182" s="187">
        <v>80</v>
      </c>
      <c r="P182" s="187">
        <v>100</v>
      </c>
      <c r="Q182" s="193"/>
      <c r="R182" s="193"/>
      <c r="S182" s="193"/>
      <c r="T182" s="193"/>
      <c r="U182" s="181">
        <v>130000</v>
      </c>
      <c r="V182" s="180">
        <v>0</v>
      </c>
      <c r="W182" s="180">
        <v>0</v>
      </c>
      <c r="X182" s="180">
        <v>0</v>
      </c>
      <c r="Y182" s="180">
        <v>0</v>
      </c>
    </row>
    <row r="183" spans="1:25" s="4" customFormat="1" ht="120" x14ac:dyDescent="0.3">
      <c r="A183" s="796" t="s">
        <v>360</v>
      </c>
      <c r="B183" s="804" t="s">
        <v>361</v>
      </c>
      <c r="C183" s="188" t="s">
        <v>1312</v>
      </c>
      <c r="D183" s="187" t="s">
        <v>1167</v>
      </c>
      <c r="E183" s="43" t="s">
        <v>152</v>
      </c>
      <c r="F183" s="192" t="s">
        <v>359</v>
      </c>
      <c r="G183" s="43" t="s">
        <v>62</v>
      </c>
      <c r="H183" s="193"/>
      <c r="I183" s="187">
        <v>50</v>
      </c>
      <c r="J183" s="187">
        <v>90</v>
      </c>
      <c r="K183" s="64">
        <v>100</v>
      </c>
      <c r="L183" s="115"/>
      <c r="M183" s="193"/>
      <c r="N183" s="193"/>
      <c r="O183" s="193"/>
      <c r="P183" s="193"/>
      <c r="Q183" s="193"/>
      <c r="R183" s="193"/>
      <c r="S183" s="193"/>
      <c r="T183" s="193"/>
      <c r="U183" s="181">
        <v>101600</v>
      </c>
      <c r="V183" s="180">
        <v>0</v>
      </c>
      <c r="W183" s="180">
        <v>0</v>
      </c>
      <c r="X183" s="180">
        <v>0</v>
      </c>
      <c r="Y183" s="180">
        <v>0</v>
      </c>
    </row>
    <row r="184" spans="1:25" s="4" customFormat="1" ht="144" x14ac:dyDescent="0.3">
      <c r="A184" s="797"/>
      <c r="B184" s="805"/>
      <c r="C184" s="188" t="s">
        <v>1313</v>
      </c>
      <c r="D184" s="187" t="s">
        <v>1167</v>
      </c>
      <c r="E184" s="43" t="s">
        <v>325</v>
      </c>
      <c r="F184" s="192" t="s">
        <v>359</v>
      </c>
      <c r="G184" s="43" t="s">
        <v>62</v>
      </c>
      <c r="H184" s="193"/>
      <c r="I184" s="207"/>
      <c r="J184" s="187"/>
      <c r="K184" s="187">
        <v>10</v>
      </c>
      <c r="L184" s="187">
        <v>50</v>
      </c>
      <c r="M184" s="187">
        <v>100</v>
      </c>
      <c r="N184" s="193"/>
      <c r="O184" s="193"/>
      <c r="P184" s="193"/>
      <c r="Q184" s="193"/>
      <c r="R184" s="193"/>
      <c r="S184" s="193"/>
      <c r="T184" s="193"/>
      <c r="U184" s="181">
        <v>41000</v>
      </c>
      <c r="V184" s="180">
        <v>0</v>
      </c>
      <c r="W184" s="180">
        <v>0</v>
      </c>
      <c r="X184" s="180">
        <v>0</v>
      </c>
      <c r="Y184" s="180">
        <v>0</v>
      </c>
    </row>
    <row r="185" spans="1:25" s="4" customFormat="1" ht="240" x14ac:dyDescent="0.3">
      <c r="A185" s="47" t="s">
        <v>1314</v>
      </c>
      <c r="B185" s="189" t="s">
        <v>363</v>
      </c>
      <c r="C185" s="188" t="s">
        <v>1315</v>
      </c>
      <c r="D185" s="187" t="s">
        <v>364</v>
      </c>
      <c r="E185" s="43" t="s">
        <v>1212</v>
      </c>
      <c r="F185" s="192" t="s">
        <v>365</v>
      </c>
      <c r="G185" s="187" t="s">
        <v>62</v>
      </c>
      <c r="H185" s="43"/>
      <c r="I185" s="80"/>
      <c r="J185" s="80"/>
      <c r="K185" s="80"/>
      <c r="L185" s="187"/>
      <c r="M185" s="187">
        <v>30</v>
      </c>
      <c r="N185" s="187">
        <v>50</v>
      </c>
      <c r="O185" s="187">
        <v>70</v>
      </c>
      <c r="P185" s="187">
        <v>100</v>
      </c>
      <c r="Q185" s="193"/>
      <c r="R185" s="193"/>
      <c r="S185" s="193"/>
      <c r="T185" s="193"/>
      <c r="U185" s="181">
        <v>22000</v>
      </c>
      <c r="V185" s="180">
        <v>0</v>
      </c>
      <c r="W185" s="180">
        <v>0</v>
      </c>
      <c r="X185" s="180">
        <v>0</v>
      </c>
      <c r="Y185" s="180">
        <v>0</v>
      </c>
    </row>
    <row r="186" spans="1:25" s="4" customFormat="1" ht="48" x14ac:dyDescent="0.3">
      <c r="A186" s="796" t="s">
        <v>362</v>
      </c>
      <c r="B186" s="804" t="s">
        <v>367</v>
      </c>
      <c r="C186" s="188" t="s">
        <v>1316</v>
      </c>
      <c r="D186" s="187" t="s">
        <v>364</v>
      </c>
      <c r="E186" s="43" t="s">
        <v>368</v>
      </c>
      <c r="F186" s="192" t="s">
        <v>369</v>
      </c>
      <c r="G186" s="187" t="s">
        <v>62</v>
      </c>
      <c r="H186" s="43"/>
      <c r="I186" s="187"/>
      <c r="J186" s="187">
        <v>10</v>
      </c>
      <c r="K186" s="187">
        <v>20</v>
      </c>
      <c r="L186" s="187">
        <v>40</v>
      </c>
      <c r="M186" s="187">
        <v>60</v>
      </c>
      <c r="N186" s="187">
        <v>70</v>
      </c>
      <c r="O186" s="187">
        <v>80</v>
      </c>
      <c r="P186" s="187">
        <v>85</v>
      </c>
      <c r="Q186" s="187">
        <v>90</v>
      </c>
      <c r="R186" s="187">
        <v>95</v>
      </c>
      <c r="S186" s="187">
        <v>100</v>
      </c>
      <c r="T186" s="193"/>
      <c r="U186" s="181">
        <v>19000</v>
      </c>
      <c r="V186" s="180">
        <v>0</v>
      </c>
      <c r="W186" s="180">
        <v>0</v>
      </c>
      <c r="X186" s="180">
        <v>0</v>
      </c>
      <c r="Y186" s="180">
        <v>0</v>
      </c>
    </row>
    <row r="187" spans="1:25" s="4" customFormat="1" ht="48" x14ac:dyDescent="0.3">
      <c r="A187" s="797"/>
      <c r="B187" s="805"/>
      <c r="C187" s="188" t="s">
        <v>1317</v>
      </c>
      <c r="D187" s="187" t="s">
        <v>364</v>
      </c>
      <c r="E187" s="43" t="s">
        <v>1213</v>
      </c>
      <c r="F187" s="192" t="s">
        <v>370</v>
      </c>
      <c r="G187" s="187" t="s">
        <v>62</v>
      </c>
      <c r="H187" s="43"/>
      <c r="I187" s="187"/>
      <c r="J187" s="187"/>
      <c r="K187" s="187"/>
      <c r="L187" s="187">
        <v>10</v>
      </c>
      <c r="M187" s="187">
        <v>20</v>
      </c>
      <c r="N187" s="187">
        <v>30</v>
      </c>
      <c r="O187" s="187">
        <v>40</v>
      </c>
      <c r="P187" s="187">
        <v>50</v>
      </c>
      <c r="Q187" s="187">
        <v>60</v>
      </c>
      <c r="R187" s="187">
        <v>70</v>
      </c>
      <c r="S187" s="187">
        <v>85</v>
      </c>
      <c r="T187" s="193">
        <v>100</v>
      </c>
      <c r="U187" s="181">
        <v>45000</v>
      </c>
      <c r="V187" s="180">
        <v>0</v>
      </c>
      <c r="W187" s="180">
        <v>0</v>
      </c>
      <c r="X187" s="180">
        <v>0</v>
      </c>
      <c r="Y187" s="180">
        <v>0</v>
      </c>
    </row>
    <row r="188" spans="1:25" s="4" customFormat="1" ht="144" x14ac:dyDescent="0.3">
      <c r="A188" s="47" t="s">
        <v>366</v>
      </c>
      <c r="B188" s="188" t="s">
        <v>372</v>
      </c>
      <c r="C188" s="188" t="s">
        <v>1318</v>
      </c>
      <c r="D188" s="187" t="s">
        <v>364</v>
      </c>
      <c r="E188" s="187" t="s">
        <v>1188</v>
      </c>
      <c r="F188" s="192" t="s">
        <v>373</v>
      </c>
      <c r="G188" s="187" t="s">
        <v>62</v>
      </c>
      <c r="H188" s="187"/>
      <c r="I188" s="187"/>
      <c r="J188" s="187"/>
      <c r="K188" s="187">
        <v>10</v>
      </c>
      <c r="L188" s="187">
        <v>20</v>
      </c>
      <c r="M188" s="187">
        <v>30</v>
      </c>
      <c r="N188" s="187">
        <v>40</v>
      </c>
      <c r="O188" s="187">
        <v>50</v>
      </c>
      <c r="P188" s="187">
        <v>60</v>
      </c>
      <c r="Q188" s="187">
        <v>70</v>
      </c>
      <c r="R188" s="187">
        <v>80</v>
      </c>
      <c r="S188" s="187">
        <v>90</v>
      </c>
      <c r="T188" s="187">
        <v>100</v>
      </c>
      <c r="U188" s="181">
        <v>10000</v>
      </c>
      <c r="V188" s="180">
        <v>0</v>
      </c>
      <c r="W188" s="180">
        <v>0</v>
      </c>
      <c r="X188" s="180">
        <v>0</v>
      </c>
      <c r="Y188" s="180">
        <v>0</v>
      </c>
    </row>
    <row r="189" spans="1:25" s="4" customFormat="1" ht="168" x14ac:dyDescent="0.3">
      <c r="A189" s="796" t="s">
        <v>371</v>
      </c>
      <c r="B189" s="804" t="s">
        <v>375</v>
      </c>
      <c r="C189" s="189" t="s">
        <v>1319</v>
      </c>
      <c r="D189" s="187" t="s">
        <v>364</v>
      </c>
      <c r="E189" s="187" t="s">
        <v>376</v>
      </c>
      <c r="F189" s="192" t="s">
        <v>377</v>
      </c>
      <c r="G189" s="187" t="s">
        <v>62</v>
      </c>
      <c r="H189" s="187"/>
      <c r="I189" s="187"/>
      <c r="J189" s="187">
        <v>20</v>
      </c>
      <c r="K189" s="187">
        <v>40</v>
      </c>
      <c r="L189" s="187">
        <v>60</v>
      </c>
      <c r="M189" s="187">
        <v>80</v>
      </c>
      <c r="N189" s="187">
        <v>100</v>
      </c>
      <c r="O189" s="193"/>
      <c r="P189" s="193"/>
      <c r="Q189" s="193"/>
      <c r="R189" s="193"/>
      <c r="S189" s="193"/>
      <c r="T189" s="193"/>
      <c r="U189" s="181">
        <v>4625</v>
      </c>
      <c r="V189" s="180">
        <v>0</v>
      </c>
      <c r="W189" s="180">
        <v>0</v>
      </c>
      <c r="X189" s="180">
        <v>0</v>
      </c>
      <c r="Y189" s="180">
        <v>0</v>
      </c>
    </row>
    <row r="190" spans="1:25" s="4" customFormat="1" ht="72" x14ac:dyDescent="0.3">
      <c r="A190" s="851"/>
      <c r="B190" s="852"/>
      <c r="C190" s="189" t="s">
        <v>1320</v>
      </c>
      <c r="D190" s="187" t="s">
        <v>364</v>
      </c>
      <c r="E190" s="187" t="s">
        <v>124</v>
      </c>
      <c r="F190" s="192" t="s">
        <v>377</v>
      </c>
      <c r="G190" s="187" t="s">
        <v>62</v>
      </c>
      <c r="H190" s="187"/>
      <c r="I190" s="187">
        <v>75</v>
      </c>
      <c r="J190" s="187">
        <v>80</v>
      </c>
      <c r="K190" s="187">
        <v>85</v>
      </c>
      <c r="L190" s="187">
        <v>90</v>
      </c>
      <c r="M190" s="187">
        <v>95</v>
      </c>
      <c r="N190" s="187">
        <v>100</v>
      </c>
      <c r="O190" s="193"/>
      <c r="P190" s="193"/>
      <c r="Q190" s="193"/>
      <c r="R190" s="193"/>
      <c r="S190" s="193"/>
      <c r="T190" s="193"/>
      <c r="U190" s="181">
        <v>2237.5</v>
      </c>
      <c r="V190" s="180">
        <v>0</v>
      </c>
      <c r="W190" s="180">
        <v>0</v>
      </c>
      <c r="X190" s="180">
        <v>0</v>
      </c>
      <c r="Y190" s="180">
        <v>0</v>
      </c>
    </row>
    <row r="191" spans="1:25" s="4" customFormat="1" ht="120" x14ac:dyDescent="0.3">
      <c r="A191" s="797"/>
      <c r="B191" s="805"/>
      <c r="C191" s="189" t="s">
        <v>1321</v>
      </c>
      <c r="D191" s="187" t="s">
        <v>364</v>
      </c>
      <c r="E191" s="187" t="s">
        <v>378</v>
      </c>
      <c r="F191" s="192" t="s">
        <v>377</v>
      </c>
      <c r="G191" s="187" t="s">
        <v>62</v>
      </c>
      <c r="H191" s="187"/>
      <c r="I191" s="187"/>
      <c r="J191" s="187"/>
      <c r="K191" s="187"/>
      <c r="L191" s="187">
        <v>50</v>
      </c>
      <c r="M191" s="187">
        <v>75</v>
      </c>
      <c r="N191" s="187">
        <v>100</v>
      </c>
      <c r="O191" s="193"/>
      <c r="P191" s="193"/>
      <c r="Q191" s="193"/>
      <c r="R191" s="193"/>
      <c r="S191" s="193"/>
      <c r="T191" s="193"/>
      <c r="U191" s="181">
        <v>800</v>
      </c>
      <c r="V191" s="180">
        <v>0</v>
      </c>
      <c r="W191" s="180">
        <v>0</v>
      </c>
      <c r="X191" s="180">
        <v>0</v>
      </c>
      <c r="Y191" s="180">
        <v>0</v>
      </c>
    </row>
    <row r="192" spans="1:25" s="4" customFormat="1" ht="72" x14ac:dyDescent="0.3">
      <c r="A192" s="796" t="s">
        <v>374</v>
      </c>
      <c r="B192" s="804" t="s">
        <v>385</v>
      </c>
      <c r="C192" s="189" t="s">
        <v>386</v>
      </c>
      <c r="D192" s="187" t="s">
        <v>364</v>
      </c>
      <c r="E192" s="187" t="s">
        <v>206</v>
      </c>
      <c r="F192" s="192" t="s">
        <v>387</v>
      </c>
      <c r="G192" s="187" t="s">
        <v>62</v>
      </c>
      <c r="H192" s="187"/>
      <c r="I192" s="187"/>
      <c r="J192" s="187"/>
      <c r="K192" s="187"/>
      <c r="L192" s="187"/>
      <c r="M192" s="187"/>
      <c r="N192" s="187"/>
      <c r="O192" s="187">
        <v>10</v>
      </c>
      <c r="P192" s="187">
        <v>50</v>
      </c>
      <c r="Q192" s="187">
        <v>100</v>
      </c>
      <c r="R192" s="193"/>
      <c r="S192" s="193"/>
      <c r="T192" s="193"/>
      <c r="U192" s="181">
        <v>1900</v>
      </c>
      <c r="V192" s="180">
        <v>0</v>
      </c>
      <c r="W192" s="180">
        <v>0</v>
      </c>
      <c r="X192" s="180">
        <v>0</v>
      </c>
      <c r="Y192" s="180">
        <v>0</v>
      </c>
    </row>
    <row r="193" spans="1:25" s="4" customFormat="1" ht="96" x14ac:dyDescent="0.3">
      <c r="A193" s="797"/>
      <c r="B193" s="805"/>
      <c r="C193" s="189" t="s">
        <v>388</v>
      </c>
      <c r="D193" s="187" t="s">
        <v>389</v>
      </c>
      <c r="E193" s="187" t="s">
        <v>390</v>
      </c>
      <c r="F193" s="192" t="s">
        <v>387</v>
      </c>
      <c r="G193" s="187" t="s">
        <v>62</v>
      </c>
      <c r="H193" s="187"/>
      <c r="I193" s="187"/>
      <c r="J193" s="187"/>
      <c r="K193" s="187"/>
      <c r="L193" s="187"/>
      <c r="M193" s="187"/>
      <c r="N193" s="187"/>
      <c r="O193" s="187">
        <v>10</v>
      </c>
      <c r="P193" s="187">
        <v>50</v>
      </c>
      <c r="Q193" s="187"/>
      <c r="R193" s="193"/>
      <c r="S193" s="193"/>
      <c r="T193" s="193"/>
      <c r="U193" s="181">
        <v>1975</v>
      </c>
      <c r="V193" s="180">
        <v>0</v>
      </c>
      <c r="W193" s="180">
        <v>0</v>
      </c>
      <c r="X193" s="180">
        <v>0</v>
      </c>
      <c r="Y193" s="180">
        <v>0</v>
      </c>
    </row>
    <row r="194" spans="1:25" ht="24" x14ac:dyDescent="0.3">
      <c r="A194" s="67" t="s">
        <v>391</v>
      </c>
      <c r="B194" s="946" t="s">
        <v>392</v>
      </c>
      <c r="C194" s="946"/>
      <c r="D194" s="946"/>
      <c r="E194" s="946"/>
      <c r="F194" s="946"/>
      <c r="G194" s="946"/>
      <c r="H194" s="946"/>
      <c r="I194" s="946"/>
      <c r="J194" s="946"/>
      <c r="K194" s="946"/>
      <c r="L194" s="946"/>
      <c r="M194" s="946"/>
      <c r="N194" s="946"/>
      <c r="O194" s="946"/>
      <c r="P194" s="946"/>
      <c r="Q194" s="946"/>
      <c r="R194" s="946"/>
      <c r="S194" s="946"/>
      <c r="T194" s="946"/>
      <c r="U194" s="56"/>
      <c r="V194" s="57"/>
      <c r="W194" s="57"/>
      <c r="X194" s="57"/>
      <c r="Y194" s="57"/>
    </row>
    <row r="195" spans="1:25" ht="24" x14ac:dyDescent="0.3">
      <c r="A195" s="66" t="s">
        <v>393</v>
      </c>
      <c r="B195" s="947" t="s">
        <v>394</v>
      </c>
      <c r="C195" s="947"/>
      <c r="D195" s="947"/>
      <c r="E195" s="947"/>
      <c r="F195" s="947"/>
      <c r="G195" s="947"/>
      <c r="H195" s="947"/>
      <c r="I195" s="947"/>
      <c r="J195" s="947"/>
      <c r="K195" s="947"/>
      <c r="L195" s="947"/>
      <c r="M195" s="947"/>
      <c r="N195" s="947"/>
      <c r="O195" s="947"/>
      <c r="P195" s="947"/>
      <c r="Q195" s="947"/>
      <c r="R195" s="947"/>
      <c r="S195" s="947"/>
      <c r="T195" s="947"/>
      <c r="U195" s="51"/>
      <c r="V195" s="52"/>
      <c r="W195" s="52"/>
      <c r="X195" s="52"/>
      <c r="Y195" s="52"/>
    </row>
    <row r="196" spans="1:25" s="4" customFormat="1" ht="312" x14ac:dyDescent="0.3">
      <c r="A196" s="47" t="s">
        <v>395</v>
      </c>
      <c r="B196" s="189" t="s">
        <v>396</v>
      </c>
      <c r="C196" s="188" t="s">
        <v>1322</v>
      </c>
      <c r="D196" s="193" t="s">
        <v>1182</v>
      </c>
      <c r="E196" s="50" t="s">
        <v>397</v>
      </c>
      <c r="F196" s="192" t="s">
        <v>398</v>
      </c>
      <c r="G196" s="187" t="s">
        <v>399</v>
      </c>
      <c r="H196" s="50"/>
      <c r="I196" s="50">
        <v>1</v>
      </c>
      <c r="J196" s="50"/>
      <c r="K196" s="50"/>
      <c r="L196" s="50"/>
      <c r="M196" s="50"/>
      <c r="N196" s="50"/>
      <c r="O196" s="50"/>
      <c r="P196" s="50"/>
      <c r="Q196" s="50"/>
      <c r="R196" s="50"/>
      <c r="S196" s="50"/>
      <c r="T196" s="50"/>
      <c r="U196" s="181">
        <v>1226928.5</v>
      </c>
      <c r="V196" s="180">
        <v>0</v>
      </c>
      <c r="W196" s="180">
        <v>0</v>
      </c>
      <c r="X196" s="180">
        <v>1226928.5</v>
      </c>
      <c r="Y196" s="180">
        <v>0</v>
      </c>
    </row>
    <row r="197" spans="1:25" s="4" customFormat="1" ht="408" x14ac:dyDescent="0.3">
      <c r="A197" s="47" t="s">
        <v>400</v>
      </c>
      <c r="B197" s="189" t="s">
        <v>401</v>
      </c>
      <c r="C197" s="188" t="s">
        <v>1323</v>
      </c>
      <c r="D197" s="193" t="s">
        <v>1182</v>
      </c>
      <c r="E197" s="50">
        <v>2020</v>
      </c>
      <c r="F197" s="192" t="s">
        <v>402</v>
      </c>
      <c r="G197" s="187" t="s">
        <v>399</v>
      </c>
      <c r="H197" s="50"/>
      <c r="I197" s="50"/>
      <c r="J197" s="50">
        <v>1</v>
      </c>
      <c r="K197" s="50"/>
      <c r="L197" s="50"/>
      <c r="M197" s="50"/>
      <c r="N197" s="50"/>
      <c r="O197" s="50"/>
      <c r="P197" s="50"/>
      <c r="Q197" s="50"/>
      <c r="R197" s="50"/>
      <c r="S197" s="50"/>
      <c r="T197" s="50"/>
      <c r="U197" s="181">
        <v>2383420</v>
      </c>
      <c r="V197" s="180">
        <v>0</v>
      </c>
      <c r="W197" s="180">
        <v>0</v>
      </c>
      <c r="X197" s="180">
        <v>1383420</v>
      </c>
      <c r="Y197" s="180">
        <v>1000000</v>
      </c>
    </row>
    <row r="198" spans="1:25" s="4" customFormat="1" ht="240" x14ac:dyDescent="0.3">
      <c r="A198" s="47" t="s">
        <v>403</v>
      </c>
      <c r="B198" s="189" t="s">
        <v>404</v>
      </c>
      <c r="C198" s="189" t="s">
        <v>1324</v>
      </c>
      <c r="D198" s="187" t="s">
        <v>1181</v>
      </c>
      <c r="E198" s="50">
        <v>2030</v>
      </c>
      <c r="F198" s="192" t="s">
        <v>405</v>
      </c>
      <c r="G198" s="187" t="s">
        <v>399</v>
      </c>
      <c r="H198" s="50"/>
      <c r="I198" s="50"/>
      <c r="J198" s="50"/>
      <c r="K198" s="50"/>
      <c r="L198" s="50"/>
      <c r="M198" s="50"/>
      <c r="N198" s="50"/>
      <c r="O198" s="50"/>
      <c r="P198" s="50"/>
      <c r="Q198" s="50"/>
      <c r="R198" s="50"/>
      <c r="S198" s="50"/>
      <c r="T198" s="50">
        <v>1</v>
      </c>
      <c r="U198" s="181">
        <v>40000000</v>
      </c>
      <c r="V198" s="180">
        <v>0</v>
      </c>
      <c r="W198" s="180">
        <v>0</v>
      </c>
      <c r="X198" s="180">
        <v>40000000</v>
      </c>
      <c r="Y198" s="180">
        <v>0</v>
      </c>
    </row>
    <row r="199" spans="1:25" ht="24" x14ac:dyDescent="0.3">
      <c r="A199" s="66" t="s">
        <v>406</v>
      </c>
      <c r="B199" s="945" t="s">
        <v>407</v>
      </c>
      <c r="C199" s="945"/>
      <c r="D199" s="945"/>
      <c r="E199" s="945"/>
      <c r="F199" s="945"/>
      <c r="G199" s="945"/>
      <c r="H199" s="945"/>
      <c r="I199" s="945"/>
      <c r="J199" s="945"/>
      <c r="K199" s="945"/>
      <c r="L199" s="945"/>
      <c r="M199" s="945"/>
      <c r="N199" s="945"/>
      <c r="O199" s="945"/>
      <c r="P199" s="945"/>
      <c r="Q199" s="945"/>
      <c r="R199" s="945"/>
      <c r="S199" s="945"/>
      <c r="T199" s="945"/>
      <c r="U199" s="51"/>
      <c r="V199" s="52"/>
      <c r="W199" s="52"/>
      <c r="X199" s="52"/>
      <c r="Y199" s="52"/>
    </row>
    <row r="200" spans="1:25" s="4" customFormat="1" ht="72" x14ac:dyDescent="0.3">
      <c r="A200" s="796" t="s">
        <v>408</v>
      </c>
      <c r="B200" s="804" t="s">
        <v>409</v>
      </c>
      <c r="C200" s="859" t="s">
        <v>1325</v>
      </c>
      <c r="D200" s="728" t="s">
        <v>819</v>
      </c>
      <c r="E200" s="714" t="s">
        <v>52</v>
      </c>
      <c r="F200" s="158" t="s">
        <v>820</v>
      </c>
      <c r="G200" s="728" t="s">
        <v>62</v>
      </c>
      <c r="H200" s="193"/>
      <c r="I200" s="114">
        <v>59</v>
      </c>
      <c r="J200" s="114">
        <v>59</v>
      </c>
      <c r="K200" s="114">
        <v>59</v>
      </c>
      <c r="L200" s="114">
        <v>40</v>
      </c>
      <c r="M200" s="114">
        <v>47</v>
      </c>
      <c r="N200" s="114">
        <v>53</v>
      </c>
      <c r="O200" s="114">
        <v>40</v>
      </c>
      <c r="P200" s="114">
        <v>21</v>
      </c>
      <c r="Q200" s="114">
        <v>3</v>
      </c>
      <c r="R200" s="114">
        <v>0</v>
      </c>
      <c r="S200" s="114">
        <v>0</v>
      </c>
      <c r="T200" s="114">
        <v>0</v>
      </c>
      <c r="U200" s="773">
        <v>2055672</v>
      </c>
      <c r="V200" s="791">
        <v>2055672</v>
      </c>
      <c r="W200" s="791">
        <v>0</v>
      </c>
      <c r="X200" s="791">
        <v>0</v>
      </c>
      <c r="Y200" s="791">
        <v>0</v>
      </c>
    </row>
    <row r="201" spans="1:25" s="4" customFormat="1" ht="72" x14ac:dyDescent="0.3">
      <c r="A201" s="851"/>
      <c r="B201" s="852"/>
      <c r="C201" s="860"/>
      <c r="D201" s="734"/>
      <c r="E201" s="748"/>
      <c r="F201" s="158" t="s">
        <v>821</v>
      </c>
      <c r="G201" s="729"/>
      <c r="H201" s="193"/>
      <c r="I201" s="114">
        <v>0</v>
      </c>
      <c r="J201" s="114">
        <v>0</v>
      </c>
      <c r="K201" s="114">
        <v>0</v>
      </c>
      <c r="L201" s="114">
        <v>60</v>
      </c>
      <c r="M201" s="114">
        <v>100</v>
      </c>
      <c r="N201" s="114">
        <v>40</v>
      </c>
      <c r="O201" s="114">
        <v>0</v>
      </c>
      <c r="P201" s="114">
        <v>0</v>
      </c>
      <c r="Q201" s="114">
        <v>0</v>
      </c>
      <c r="R201" s="114">
        <v>0</v>
      </c>
      <c r="S201" s="114">
        <v>0</v>
      </c>
      <c r="T201" s="114">
        <v>0</v>
      </c>
      <c r="U201" s="799"/>
      <c r="V201" s="795"/>
      <c r="W201" s="795"/>
      <c r="X201" s="795"/>
      <c r="Y201" s="795"/>
    </row>
    <row r="202" spans="1:25" s="4" customFormat="1" ht="168" x14ac:dyDescent="0.3">
      <c r="A202" s="851"/>
      <c r="B202" s="852"/>
      <c r="C202" s="859" t="s">
        <v>1326</v>
      </c>
      <c r="D202" s="728" t="s">
        <v>410</v>
      </c>
      <c r="E202" s="714" t="s">
        <v>52</v>
      </c>
      <c r="F202" s="158" t="s">
        <v>822</v>
      </c>
      <c r="G202" s="728" t="s">
        <v>399</v>
      </c>
      <c r="H202" s="193"/>
      <c r="I202" s="187"/>
      <c r="J202" s="187"/>
      <c r="K202" s="187"/>
      <c r="L202" s="187">
        <v>30</v>
      </c>
      <c r="M202" s="187">
        <v>30</v>
      </c>
      <c r="N202" s="187">
        <v>15</v>
      </c>
      <c r="O202" s="187">
        <v>20</v>
      </c>
      <c r="P202" s="187">
        <v>30</v>
      </c>
      <c r="Q202" s="187">
        <v>30</v>
      </c>
      <c r="R202" s="187">
        <v>4</v>
      </c>
      <c r="S202" s="187">
        <v>30</v>
      </c>
      <c r="T202" s="187">
        <v>30</v>
      </c>
      <c r="U202" s="799"/>
      <c r="V202" s="795"/>
      <c r="W202" s="795"/>
      <c r="X202" s="795"/>
      <c r="Y202" s="795"/>
    </row>
    <row r="203" spans="1:25" s="4" customFormat="1" ht="168" x14ac:dyDescent="0.3">
      <c r="A203" s="797"/>
      <c r="B203" s="805"/>
      <c r="C203" s="861"/>
      <c r="D203" s="729"/>
      <c r="E203" s="715"/>
      <c r="F203" s="158" t="s">
        <v>823</v>
      </c>
      <c r="G203" s="729"/>
      <c r="H203" s="193"/>
      <c r="I203" s="187"/>
      <c r="J203" s="187"/>
      <c r="K203" s="187"/>
      <c r="L203" s="187"/>
      <c r="M203" s="187"/>
      <c r="N203" s="187">
        <v>15</v>
      </c>
      <c r="O203" s="187">
        <v>10</v>
      </c>
      <c r="P203" s="187"/>
      <c r="Q203" s="187"/>
      <c r="R203" s="187"/>
      <c r="S203" s="187"/>
      <c r="T203" s="187"/>
      <c r="U203" s="774"/>
      <c r="V203" s="792"/>
      <c r="W203" s="792"/>
      <c r="X203" s="792"/>
      <c r="Y203" s="792"/>
    </row>
    <row r="204" spans="1:25" s="4" customFormat="1" ht="120" x14ac:dyDescent="0.3">
      <c r="A204" s="862" t="s">
        <v>411</v>
      </c>
      <c r="B204" s="804" t="s">
        <v>1035</v>
      </c>
      <c r="C204" s="859" t="s">
        <v>1119</v>
      </c>
      <c r="D204" s="714" t="s">
        <v>602</v>
      </c>
      <c r="E204" s="714" t="s">
        <v>52</v>
      </c>
      <c r="F204" s="158" t="s">
        <v>965</v>
      </c>
      <c r="G204" s="187" t="s">
        <v>966</v>
      </c>
      <c r="H204" s="139">
        <v>18034</v>
      </c>
      <c r="I204" s="139">
        <v>15370.1</v>
      </c>
      <c r="J204" s="139">
        <v>16237.3</v>
      </c>
      <c r="K204" s="139">
        <v>16237.3</v>
      </c>
      <c r="L204" s="139">
        <f>K204*1.002</f>
        <v>16269.774599999999</v>
      </c>
      <c r="M204" s="139">
        <f t="shared" ref="M204:T204" si="3">L204*1.002</f>
        <v>16302.3141492</v>
      </c>
      <c r="N204" s="139">
        <f t="shared" si="3"/>
        <v>16334.9187774984</v>
      </c>
      <c r="O204" s="139">
        <f t="shared" si="3"/>
        <v>16367.588615053397</v>
      </c>
      <c r="P204" s="139">
        <f t="shared" si="3"/>
        <v>16400.323792283503</v>
      </c>
      <c r="Q204" s="139">
        <f t="shared" si="3"/>
        <v>16433.124439868072</v>
      </c>
      <c r="R204" s="139">
        <f t="shared" si="3"/>
        <v>16465.990688747806</v>
      </c>
      <c r="S204" s="139">
        <f t="shared" si="3"/>
        <v>16498.922670125303</v>
      </c>
      <c r="T204" s="139">
        <f t="shared" si="3"/>
        <v>16531.920515465554</v>
      </c>
      <c r="U204" s="767">
        <v>8403700.1999999993</v>
      </c>
      <c r="V204" s="765">
        <v>8403700.1999999993</v>
      </c>
      <c r="W204" s="765">
        <v>0</v>
      </c>
      <c r="X204" s="765">
        <v>0</v>
      </c>
      <c r="Y204" s="765">
        <v>0</v>
      </c>
    </row>
    <row r="205" spans="1:25" s="4" customFormat="1" ht="72" x14ac:dyDescent="0.3">
      <c r="A205" s="863"/>
      <c r="B205" s="805"/>
      <c r="C205" s="861"/>
      <c r="D205" s="715"/>
      <c r="E205" s="715"/>
      <c r="F205" s="192" t="s">
        <v>967</v>
      </c>
      <c r="G205" s="187" t="s">
        <v>74</v>
      </c>
      <c r="H205" s="65">
        <v>2953</v>
      </c>
      <c r="I205" s="65">
        <v>2924</v>
      </c>
      <c r="J205" s="65">
        <v>3017</v>
      </c>
      <c r="K205" s="65">
        <v>3046</v>
      </c>
      <c r="L205" s="65">
        <v>3046</v>
      </c>
      <c r="M205" s="65">
        <v>3046</v>
      </c>
      <c r="N205" s="65">
        <v>3046</v>
      </c>
      <c r="O205" s="65">
        <v>3046</v>
      </c>
      <c r="P205" s="65">
        <v>3046</v>
      </c>
      <c r="Q205" s="65">
        <v>3046</v>
      </c>
      <c r="R205" s="65">
        <v>3046</v>
      </c>
      <c r="S205" s="65">
        <v>3046</v>
      </c>
      <c r="T205" s="65">
        <v>3046</v>
      </c>
      <c r="U205" s="768"/>
      <c r="V205" s="766"/>
      <c r="W205" s="766"/>
      <c r="X205" s="766"/>
      <c r="Y205" s="766"/>
    </row>
    <row r="206" spans="1:25" s="4" customFormat="1" ht="121.5" customHeight="1" x14ac:dyDescent="0.3">
      <c r="A206" s="796" t="s">
        <v>412</v>
      </c>
      <c r="B206" s="804" t="s">
        <v>841</v>
      </c>
      <c r="C206" s="859" t="s">
        <v>858</v>
      </c>
      <c r="D206" s="728" t="s">
        <v>1128</v>
      </c>
      <c r="E206" s="728">
        <v>2030</v>
      </c>
      <c r="F206" s="192" t="s">
        <v>414</v>
      </c>
      <c r="G206" s="187" t="s">
        <v>399</v>
      </c>
      <c r="H206" s="193"/>
      <c r="I206" s="193"/>
      <c r="J206" s="193"/>
      <c r="K206" s="193"/>
      <c r="L206" s="193"/>
      <c r="M206" s="193"/>
      <c r="N206" s="193"/>
      <c r="O206" s="193"/>
      <c r="P206" s="193"/>
      <c r="Q206" s="193"/>
      <c r="R206" s="193"/>
      <c r="S206" s="193">
        <v>1</v>
      </c>
      <c r="T206" s="193"/>
      <c r="U206" s="181">
        <v>0</v>
      </c>
      <c r="V206" s="180">
        <v>0</v>
      </c>
      <c r="W206" s="180">
        <v>0</v>
      </c>
      <c r="X206" s="180">
        <v>0</v>
      </c>
      <c r="Y206" s="180">
        <v>0</v>
      </c>
    </row>
    <row r="207" spans="1:25" s="4" customFormat="1" ht="96" x14ac:dyDescent="0.3">
      <c r="A207" s="851"/>
      <c r="B207" s="852"/>
      <c r="C207" s="861"/>
      <c r="D207" s="729"/>
      <c r="E207" s="729"/>
      <c r="F207" s="192" t="s">
        <v>413</v>
      </c>
      <c r="G207" s="187" t="s">
        <v>415</v>
      </c>
      <c r="H207" s="193"/>
      <c r="I207" s="193"/>
      <c r="J207" s="193"/>
      <c r="K207" s="193"/>
      <c r="L207" s="193"/>
      <c r="M207" s="193"/>
      <c r="N207" s="193"/>
      <c r="O207" s="193"/>
      <c r="P207" s="193"/>
      <c r="Q207" s="193"/>
      <c r="R207" s="193"/>
      <c r="S207" s="193"/>
      <c r="T207" s="193">
        <v>94</v>
      </c>
      <c r="U207" s="181">
        <v>0</v>
      </c>
      <c r="V207" s="180">
        <v>0</v>
      </c>
      <c r="W207" s="180">
        <v>0</v>
      </c>
      <c r="X207" s="180">
        <v>0</v>
      </c>
      <c r="Y207" s="180">
        <v>0</v>
      </c>
    </row>
    <row r="208" spans="1:25" s="4" customFormat="1" ht="240" x14ac:dyDescent="0.3">
      <c r="A208" s="190" t="s">
        <v>417</v>
      </c>
      <c r="B208" s="182" t="s">
        <v>1209</v>
      </c>
      <c r="C208" s="182" t="s">
        <v>1210</v>
      </c>
      <c r="D208" s="42" t="s">
        <v>1145</v>
      </c>
      <c r="E208" s="193" t="s">
        <v>418</v>
      </c>
      <c r="F208" s="192" t="s">
        <v>887</v>
      </c>
      <c r="G208" s="193" t="s">
        <v>117</v>
      </c>
      <c r="H208" s="124"/>
      <c r="I208" s="44"/>
      <c r="J208" s="44"/>
      <c r="K208" s="124"/>
      <c r="L208" s="124"/>
      <c r="M208" s="124"/>
      <c r="N208" s="124"/>
      <c r="O208" s="124"/>
      <c r="P208" s="124"/>
      <c r="Q208" s="124"/>
      <c r="R208" s="124"/>
      <c r="S208" s="124"/>
      <c r="T208" s="124" t="s">
        <v>118</v>
      </c>
      <c r="U208" s="181">
        <v>0</v>
      </c>
      <c r="V208" s="180">
        <v>0</v>
      </c>
      <c r="W208" s="180">
        <v>0</v>
      </c>
      <c r="X208" s="180">
        <v>0</v>
      </c>
      <c r="Y208" s="180">
        <v>0</v>
      </c>
    </row>
    <row r="209" spans="1:25" s="4" customFormat="1" ht="144" x14ac:dyDescent="0.3">
      <c r="A209" s="190" t="s">
        <v>419</v>
      </c>
      <c r="B209" s="182" t="s">
        <v>420</v>
      </c>
      <c r="C209" s="182" t="s">
        <v>421</v>
      </c>
      <c r="D209" s="193" t="s">
        <v>422</v>
      </c>
      <c r="E209" s="193" t="s">
        <v>266</v>
      </c>
      <c r="F209" s="777" t="s">
        <v>888</v>
      </c>
      <c r="G209" s="714" t="s">
        <v>889</v>
      </c>
      <c r="H209" s="738">
        <v>152.4</v>
      </c>
      <c r="I209" s="738">
        <v>158.4</v>
      </c>
      <c r="J209" s="738">
        <v>158.4</v>
      </c>
      <c r="K209" s="738">
        <v>158.4</v>
      </c>
      <c r="L209" s="738">
        <v>160.9</v>
      </c>
      <c r="M209" s="738">
        <v>160.9</v>
      </c>
      <c r="N209" s="738">
        <v>160.9</v>
      </c>
      <c r="O209" s="738">
        <v>160.9</v>
      </c>
      <c r="P209" s="738">
        <v>165.9</v>
      </c>
      <c r="Q209" s="738">
        <v>166.7</v>
      </c>
      <c r="R209" s="738">
        <v>166.7</v>
      </c>
      <c r="S209" s="738">
        <v>166.7</v>
      </c>
      <c r="T209" s="738">
        <v>168.7</v>
      </c>
      <c r="U209" s="181">
        <v>50000</v>
      </c>
      <c r="V209" s="180" t="s">
        <v>922</v>
      </c>
      <c r="W209" s="180">
        <v>0</v>
      </c>
      <c r="X209" s="180">
        <v>0</v>
      </c>
      <c r="Y209" s="180">
        <v>0</v>
      </c>
    </row>
    <row r="210" spans="1:25" s="4" customFormat="1" ht="192" x14ac:dyDescent="0.3">
      <c r="A210" s="190" t="s">
        <v>423</v>
      </c>
      <c r="B210" s="170" t="s">
        <v>424</v>
      </c>
      <c r="C210" s="168" t="s">
        <v>425</v>
      </c>
      <c r="D210" s="193" t="s">
        <v>422</v>
      </c>
      <c r="E210" s="193" t="s">
        <v>273</v>
      </c>
      <c r="F210" s="784"/>
      <c r="G210" s="748"/>
      <c r="H210" s="739"/>
      <c r="I210" s="739"/>
      <c r="J210" s="739"/>
      <c r="K210" s="739"/>
      <c r="L210" s="739"/>
      <c r="M210" s="739"/>
      <c r="N210" s="739"/>
      <c r="O210" s="739"/>
      <c r="P210" s="739"/>
      <c r="Q210" s="739"/>
      <c r="R210" s="739"/>
      <c r="S210" s="739"/>
      <c r="T210" s="739"/>
      <c r="U210" s="181">
        <v>129706.8</v>
      </c>
      <c r="V210" s="180" t="s">
        <v>921</v>
      </c>
      <c r="W210" s="180">
        <v>0</v>
      </c>
      <c r="X210" s="180">
        <v>0</v>
      </c>
      <c r="Y210" s="180">
        <v>0</v>
      </c>
    </row>
    <row r="211" spans="1:25" s="4" customFormat="1" ht="144" x14ac:dyDescent="0.3">
      <c r="A211" s="190" t="s">
        <v>426</v>
      </c>
      <c r="B211" s="170" t="s">
        <v>427</v>
      </c>
      <c r="C211" s="168" t="s">
        <v>428</v>
      </c>
      <c r="D211" s="193" t="s">
        <v>422</v>
      </c>
      <c r="E211" s="193" t="s">
        <v>266</v>
      </c>
      <c r="F211" s="784"/>
      <c r="G211" s="748"/>
      <c r="H211" s="739"/>
      <c r="I211" s="739"/>
      <c r="J211" s="739"/>
      <c r="K211" s="739"/>
      <c r="L211" s="739"/>
      <c r="M211" s="739"/>
      <c r="N211" s="739"/>
      <c r="O211" s="739"/>
      <c r="P211" s="739"/>
      <c r="Q211" s="739"/>
      <c r="R211" s="739"/>
      <c r="S211" s="739"/>
      <c r="T211" s="739"/>
      <c r="U211" s="181">
        <v>71629.7</v>
      </c>
      <c r="V211" s="180" t="s">
        <v>920</v>
      </c>
      <c r="W211" s="180">
        <v>0</v>
      </c>
      <c r="X211" s="180">
        <v>0</v>
      </c>
      <c r="Y211" s="180">
        <v>0</v>
      </c>
    </row>
    <row r="212" spans="1:25" s="4" customFormat="1" ht="144" x14ac:dyDescent="0.3">
      <c r="A212" s="190" t="s">
        <v>429</v>
      </c>
      <c r="B212" s="170" t="s">
        <v>430</v>
      </c>
      <c r="C212" s="168" t="s">
        <v>431</v>
      </c>
      <c r="D212" s="193" t="s">
        <v>422</v>
      </c>
      <c r="E212" s="193" t="s">
        <v>1416</v>
      </c>
      <c r="F212" s="784"/>
      <c r="G212" s="748"/>
      <c r="H212" s="739"/>
      <c r="I212" s="739"/>
      <c r="J212" s="739"/>
      <c r="K212" s="739"/>
      <c r="L212" s="739"/>
      <c r="M212" s="739"/>
      <c r="N212" s="739"/>
      <c r="O212" s="739"/>
      <c r="P212" s="739"/>
      <c r="Q212" s="739"/>
      <c r="R212" s="739"/>
      <c r="S212" s="739"/>
      <c r="T212" s="739"/>
      <c r="U212" s="181">
        <v>309500</v>
      </c>
      <c r="V212" s="180" t="s">
        <v>919</v>
      </c>
      <c r="W212" s="180">
        <v>0</v>
      </c>
      <c r="X212" s="180">
        <v>0</v>
      </c>
      <c r="Y212" s="180">
        <v>0</v>
      </c>
    </row>
    <row r="213" spans="1:25" s="4" customFormat="1" ht="192" x14ac:dyDescent="0.3">
      <c r="A213" s="190" t="s">
        <v>432</v>
      </c>
      <c r="B213" s="170" t="s">
        <v>433</v>
      </c>
      <c r="C213" s="168" t="s">
        <v>434</v>
      </c>
      <c r="D213" s="193" t="s">
        <v>422</v>
      </c>
      <c r="E213" s="193" t="s">
        <v>266</v>
      </c>
      <c r="F213" s="784"/>
      <c r="G213" s="748"/>
      <c r="H213" s="739"/>
      <c r="I213" s="739"/>
      <c r="J213" s="739"/>
      <c r="K213" s="739"/>
      <c r="L213" s="739"/>
      <c r="M213" s="739"/>
      <c r="N213" s="739"/>
      <c r="O213" s="739"/>
      <c r="P213" s="739"/>
      <c r="Q213" s="739"/>
      <c r="R213" s="739"/>
      <c r="S213" s="739"/>
      <c r="T213" s="739"/>
      <c r="U213" s="181">
        <v>46000</v>
      </c>
      <c r="V213" s="180">
        <v>0</v>
      </c>
      <c r="W213" s="180">
        <v>0</v>
      </c>
      <c r="X213" s="180">
        <v>0</v>
      </c>
      <c r="Y213" s="180">
        <v>46000</v>
      </c>
    </row>
    <row r="214" spans="1:25" s="4" customFormat="1" ht="144" x14ac:dyDescent="0.3">
      <c r="A214" s="190" t="s">
        <v>435</v>
      </c>
      <c r="B214" s="170" t="s">
        <v>436</v>
      </c>
      <c r="C214" s="168" t="s">
        <v>437</v>
      </c>
      <c r="D214" s="193" t="s">
        <v>422</v>
      </c>
      <c r="E214" s="193" t="s">
        <v>273</v>
      </c>
      <c r="F214" s="784"/>
      <c r="G214" s="748"/>
      <c r="H214" s="739"/>
      <c r="I214" s="739"/>
      <c r="J214" s="739"/>
      <c r="K214" s="739"/>
      <c r="L214" s="739"/>
      <c r="M214" s="739"/>
      <c r="N214" s="739"/>
      <c r="O214" s="739"/>
      <c r="P214" s="739"/>
      <c r="Q214" s="739"/>
      <c r="R214" s="739"/>
      <c r="S214" s="739"/>
      <c r="T214" s="739"/>
      <c r="U214" s="181">
        <v>86779.6</v>
      </c>
      <c r="V214" s="180" t="s">
        <v>917</v>
      </c>
      <c r="W214" s="180">
        <v>0</v>
      </c>
      <c r="X214" s="180">
        <v>0</v>
      </c>
      <c r="Y214" s="180">
        <v>0</v>
      </c>
    </row>
    <row r="215" spans="1:25" s="4" customFormat="1" ht="144" x14ac:dyDescent="0.3">
      <c r="A215" s="190" t="s">
        <v>438</v>
      </c>
      <c r="B215" s="170" t="s">
        <v>871</v>
      </c>
      <c r="C215" s="168" t="s">
        <v>439</v>
      </c>
      <c r="D215" s="193" t="s">
        <v>422</v>
      </c>
      <c r="E215" s="193" t="s">
        <v>273</v>
      </c>
      <c r="F215" s="784"/>
      <c r="G215" s="748"/>
      <c r="H215" s="739"/>
      <c r="I215" s="739"/>
      <c r="J215" s="739"/>
      <c r="K215" s="739"/>
      <c r="L215" s="739"/>
      <c r="M215" s="739"/>
      <c r="N215" s="739"/>
      <c r="O215" s="739"/>
      <c r="P215" s="739"/>
      <c r="Q215" s="739"/>
      <c r="R215" s="739"/>
      <c r="S215" s="739"/>
      <c r="T215" s="739"/>
      <c r="U215" s="181">
        <v>281907.3</v>
      </c>
      <c r="V215" s="180" t="s">
        <v>918</v>
      </c>
      <c r="W215" s="180">
        <v>0</v>
      </c>
      <c r="X215" s="180">
        <v>0</v>
      </c>
      <c r="Y215" s="180">
        <v>0</v>
      </c>
    </row>
    <row r="216" spans="1:25" s="4" customFormat="1" ht="144" x14ac:dyDescent="0.3">
      <c r="A216" s="190" t="s">
        <v>440</v>
      </c>
      <c r="B216" s="170" t="s">
        <v>441</v>
      </c>
      <c r="C216" s="168" t="s">
        <v>439</v>
      </c>
      <c r="D216" s="193" t="s">
        <v>422</v>
      </c>
      <c r="E216" s="193" t="s">
        <v>330</v>
      </c>
      <c r="F216" s="784"/>
      <c r="G216" s="748"/>
      <c r="H216" s="739"/>
      <c r="I216" s="739"/>
      <c r="J216" s="739"/>
      <c r="K216" s="739"/>
      <c r="L216" s="739"/>
      <c r="M216" s="739"/>
      <c r="N216" s="739"/>
      <c r="O216" s="739"/>
      <c r="P216" s="739"/>
      <c r="Q216" s="739"/>
      <c r="R216" s="739"/>
      <c r="S216" s="739"/>
      <c r="T216" s="739"/>
      <c r="U216" s="181">
        <v>200000</v>
      </c>
      <c r="V216" s="180" t="s">
        <v>916</v>
      </c>
      <c r="W216" s="180">
        <v>0</v>
      </c>
      <c r="X216" s="180">
        <v>0</v>
      </c>
      <c r="Y216" s="180">
        <v>0</v>
      </c>
    </row>
    <row r="217" spans="1:25" s="4" customFormat="1" ht="192" x14ac:dyDescent="0.3">
      <c r="A217" s="190" t="s">
        <v>442</v>
      </c>
      <c r="B217" s="170" t="s">
        <v>443</v>
      </c>
      <c r="C217" s="168" t="s">
        <v>444</v>
      </c>
      <c r="D217" s="193" t="s">
        <v>422</v>
      </c>
      <c r="E217" s="193" t="s">
        <v>333</v>
      </c>
      <c r="F217" s="784"/>
      <c r="G217" s="748"/>
      <c r="H217" s="739"/>
      <c r="I217" s="739"/>
      <c r="J217" s="739"/>
      <c r="K217" s="739"/>
      <c r="L217" s="739"/>
      <c r="M217" s="739"/>
      <c r="N217" s="739"/>
      <c r="O217" s="739"/>
      <c r="P217" s="739"/>
      <c r="Q217" s="739"/>
      <c r="R217" s="739"/>
      <c r="S217" s="739"/>
      <c r="T217" s="739"/>
      <c r="U217" s="181">
        <v>146000</v>
      </c>
      <c r="V217" s="180" t="s">
        <v>915</v>
      </c>
      <c r="W217" s="180">
        <v>0</v>
      </c>
      <c r="X217" s="180">
        <v>0</v>
      </c>
      <c r="Y217" s="180">
        <v>0</v>
      </c>
    </row>
    <row r="218" spans="1:25" s="4" customFormat="1" ht="144" x14ac:dyDescent="0.3">
      <c r="A218" s="190" t="s">
        <v>445</v>
      </c>
      <c r="B218" s="170" t="s">
        <v>446</v>
      </c>
      <c r="C218" s="168" t="s">
        <v>447</v>
      </c>
      <c r="D218" s="193" t="s">
        <v>422</v>
      </c>
      <c r="E218" s="193" t="s">
        <v>41</v>
      </c>
      <c r="F218" s="784"/>
      <c r="G218" s="748"/>
      <c r="H218" s="739"/>
      <c r="I218" s="739"/>
      <c r="J218" s="739"/>
      <c r="K218" s="739"/>
      <c r="L218" s="739"/>
      <c r="M218" s="739"/>
      <c r="N218" s="739"/>
      <c r="O218" s="739"/>
      <c r="P218" s="739"/>
      <c r="Q218" s="739"/>
      <c r="R218" s="739"/>
      <c r="S218" s="739"/>
      <c r="T218" s="739"/>
      <c r="U218" s="181">
        <v>1080000</v>
      </c>
      <c r="V218" s="180" t="s">
        <v>914</v>
      </c>
      <c r="W218" s="180">
        <v>0</v>
      </c>
      <c r="X218" s="180">
        <v>0</v>
      </c>
      <c r="Y218" s="180">
        <v>0</v>
      </c>
    </row>
    <row r="219" spans="1:25" s="4" customFormat="1" ht="144" x14ac:dyDescent="0.3">
      <c r="A219" s="190" t="s">
        <v>448</v>
      </c>
      <c r="B219" s="170" t="s">
        <v>872</v>
      </c>
      <c r="C219" s="168" t="s">
        <v>1327</v>
      </c>
      <c r="D219" s="193" t="s">
        <v>422</v>
      </c>
      <c r="E219" s="193">
        <v>2027</v>
      </c>
      <c r="F219" s="784"/>
      <c r="G219" s="748"/>
      <c r="H219" s="739"/>
      <c r="I219" s="739"/>
      <c r="J219" s="739"/>
      <c r="K219" s="739"/>
      <c r="L219" s="739"/>
      <c r="M219" s="739"/>
      <c r="N219" s="739"/>
      <c r="O219" s="739"/>
      <c r="P219" s="739"/>
      <c r="Q219" s="739"/>
      <c r="R219" s="739"/>
      <c r="S219" s="739"/>
      <c r="T219" s="739"/>
      <c r="U219" s="181">
        <v>245000</v>
      </c>
      <c r="V219" s="180" t="s">
        <v>913</v>
      </c>
      <c r="W219" s="180">
        <v>0</v>
      </c>
      <c r="X219" s="180">
        <v>0</v>
      </c>
      <c r="Y219" s="180">
        <v>0</v>
      </c>
    </row>
    <row r="220" spans="1:25" s="4" customFormat="1" ht="144" x14ac:dyDescent="0.3">
      <c r="A220" s="190" t="s">
        <v>449</v>
      </c>
      <c r="B220" s="170" t="s">
        <v>450</v>
      </c>
      <c r="C220" s="168" t="s">
        <v>451</v>
      </c>
      <c r="D220" s="193" t="s">
        <v>422</v>
      </c>
      <c r="E220" s="193" t="s">
        <v>416</v>
      </c>
      <c r="F220" s="784"/>
      <c r="G220" s="748"/>
      <c r="H220" s="739"/>
      <c r="I220" s="739"/>
      <c r="J220" s="739"/>
      <c r="K220" s="739"/>
      <c r="L220" s="739"/>
      <c r="M220" s="739"/>
      <c r="N220" s="739"/>
      <c r="O220" s="739"/>
      <c r="P220" s="739"/>
      <c r="Q220" s="739"/>
      <c r="R220" s="739"/>
      <c r="S220" s="739"/>
      <c r="T220" s="739"/>
      <c r="U220" s="181">
        <v>625000</v>
      </c>
      <c r="V220" s="180" t="s">
        <v>912</v>
      </c>
      <c r="W220" s="180">
        <v>0</v>
      </c>
      <c r="X220" s="180">
        <v>0</v>
      </c>
      <c r="Y220" s="180">
        <v>0</v>
      </c>
    </row>
    <row r="221" spans="1:25" s="4" customFormat="1" ht="192" x14ac:dyDescent="0.3">
      <c r="A221" s="190" t="s">
        <v>452</v>
      </c>
      <c r="B221" s="170" t="s">
        <v>453</v>
      </c>
      <c r="C221" s="168" t="s">
        <v>454</v>
      </c>
      <c r="D221" s="193" t="s">
        <v>422</v>
      </c>
      <c r="E221" s="193" t="s">
        <v>455</v>
      </c>
      <c r="F221" s="784"/>
      <c r="G221" s="748"/>
      <c r="H221" s="739"/>
      <c r="I221" s="739"/>
      <c r="J221" s="739"/>
      <c r="K221" s="739"/>
      <c r="L221" s="739"/>
      <c r="M221" s="739"/>
      <c r="N221" s="739"/>
      <c r="O221" s="739"/>
      <c r="P221" s="739"/>
      <c r="Q221" s="739"/>
      <c r="R221" s="739"/>
      <c r="S221" s="739"/>
      <c r="T221" s="739"/>
      <c r="U221" s="181">
        <v>590000</v>
      </c>
      <c r="V221" s="180" t="s">
        <v>911</v>
      </c>
      <c r="W221" s="180">
        <v>0</v>
      </c>
      <c r="X221" s="180">
        <v>0</v>
      </c>
      <c r="Y221" s="180">
        <v>0</v>
      </c>
    </row>
    <row r="222" spans="1:25" s="4" customFormat="1" ht="168" x14ac:dyDescent="0.3">
      <c r="A222" s="190" t="s">
        <v>892</v>
      </c>
      <c r="B222" s="170" t="s">
        <v>456</v>
      </c>
      <c r="C222" s="168" t="s">
        <v>457</v>
      </c>
      <c r="D222" s="193" t="s">
        <v>422</v>
      </c>
      <c r="E222" s="193" t="s">
        <v>1213</v>
      </c>
      <c r="F222" s="778"/>
      <c r="G222" s="715"/>
      <c r="H222" s="740"/>
      <c r="I222" s="740"/>
      <c r="J222" s="740"/>
      <c r="K222" s="740"/>
      <c r="L222" s="740"/>
      <c r="M222" s="740"/>
      <c r="N222" s="740"/>
      <c r="O222" s="740"/>
      <c r="P222" s="740"/>
      <c r="Q222" s="740"/>
      <c r="R222" s="740"/>
      <c r="S222" s="740"/>
      <c r="T222" s="740"/>
      <c r="U222" s="181">
        <v>829000</v>
      </c>
      <c r="V222" s="180">
        <v>0</v>
      </c>
      <c r="W222" s="180">
        <v>0</v>
      </c>
      <c r="X222" s="180">
        <v>0</v>
      </c>
      <c r="Y222" s="180">
        <v>829000</v>
      </c>
    </row>
    <row r="223" spans="1:25" s="4" customFormat="1" ht="144" x14ac:dyDescent="0.3">
      <c r="A223" s="190" t="s">
        <v>1099</v>
      </c>
      <c r="B223" s="189" t="s">
        <v>948</v>
      </c>
      <c r="C223" s="188" t="s">
        <v>1328</v>
      </c>
      <c r="D223" s="193" t="s">
        <v>422</v>
      </c>
      <c r="E223" s="193" t="s">
        <v>949</v>
      </c>
      <c r="F223" s="192" t="s">
        <v>968</v>
      </c>
      <c r="G223" s="187" t="s">
        <v>889</v>
      </c>
      <c r="H223" s="124"/>
      <c r="I223" s="124">
        <v>4.4000000000000004</v>
      </c>
      <c r="J223" s="124"/>
      <c r="K223" s="124"/>
      <c r="L223" s="124"/>
      <c r="M223" s="124"/>
      <c r="N223" s="124"/>
      <c r="O223" s="124"/>
      <c r="P223" s="124"/>
      <c r="Q223" s="124"/>
      <c r="R223" s="124"/>
      <c r="S223" s="124"/>
      <c r="T223" s="124"/>
      <c r="U223" s="181">
        <v>183614.6</v>
      </c>
      <c r="V223" s="180" t="s">
        <v>988</v>
      </c>
      <c r="W223" s="180">
        <v>0</v>
      </c>
      <c r="X223" s="180">
        <v>0</v>
      </c>
      <c r="Y223" s="180">
        <v>0</v>
      </c>
    </row>
    <row r="224" spans="1:25" s="4" customFormat="1" ht="216" x14ac:dyDescent="0.3">
      <c r="A224" s="190" t="s">
        <v>950</v>
      </c>
      <c r="B224" s="189" t="s">
        <v>890</v>
      </c>
      <c r="C224" s="188" t="s">
        <v>891</v>
      </c>
      <c r="D224" s="193" t="s">
        <v>422</v>
      </c>
      <c r="E224" s="193" t="s">
        <v>52</v>
      </c>
      <c r="F224" s="192" t="s">
        <v>893</v>
      </c>
      <c r="G224" s="187" t="s">
        <v>62</v>
      </c>
      <c r="H224" s="124">
        <v>52.8</v>
      </c>
      <c r="I224" s="124">
        <v>72</v>
      </c>
      <c r="J224" s="124">
        <v>74.7</v>
      </c>
      <c r="K224" s="124">
        <v>77.7</v>
      </c>
      <c r="L224" s="124">
        <v>80</v>
      </c>
      <c r="M224" s="124">
        <v>80</v>
      </c>
      <c r="N224" s="124">
        <v>80</v>
      </c>
      <c r="O224" s="124">
        <v>80</v>
      </c>
      <c r="P224" s="124">
        <v>84</v>
      </c>
      <c r="Q224" s="124">
        <v>88</v>
      </c>
      <c r="R224" s="124">
        <v>93</v>
      </c>
      <c r="S224" s="124">
        <v>97</v>
      </c>
      <c r="T224" s="124">
        <v>100</v>
      </c>
      <c r="U224" s="181">
        <v>23028863.800000001</v>
      </c>
      <c r="V224" s="180" t="s">
        <v>1429</v>
      </c>
      <c r="W224" s="180">
        <v>12085405.199999999</v>
      </c>
      <c r="X224" s="180">
        <v>0</v>
      </c>
      <c r="Y224" s="180">
        <v>1320000</v>
      </c>
    </row>
    <row r="225" spans="1:25" s="4" customFormat="1" ht="168" x14ac:dyDescent="0.3">
      <c r="A225" s="190" t="s">
        <v>1100</v>
      </c>
      <c r="B225" s="189" t="s">
        <v>952</v>
      </c>
      <c r="C225" s="188" t="s">
        <v>1329</v>
      </c>
      <c r="D225" s="193" t="s">
        <v>422</v>
      </c>
      <c r="E225" s="193" t="s">
        <v>152</v>
      </c>
      <c r="F225" s="192" t="s">
        <v>951</v>
      </c>
      <c r="G225" s="187" t="s">
        <v>62</v>
      </c>
      <c r="H225" s="124" t="s">
        <v>140</v>
      </c>
      <c r="I225" s="124">
        <v>100</v>
      </c>
      <c r="J225" s="124">
        <v>100</v>
      </c>
      <c r="K225" s="124">
        <v>100</v>
      </c>
      <c r="L225" s="124"/>
      <c r="M225" s="124"/>
      <c r="N225" s="124"/>
      <c r="O225" s="124"/>
      <c r="P225" s="124"/>
      <c r="Q225" s="124"/>
      <c r="R225" s="124"/>
      <c r="S225" s="124"/>
      <c r="T225" s="124"/>
      <c r="U225" s="181">
        <v>39090.6</v>
      </c>
      <c r="V225" s="145" t="s">
        <v>1238</v>
      </c>
      <c r="W225" s="180">
        <v>0</v>
      </c>
      <c r="X225" s="180">
        <v>0</v>
      </c>
      <c r="Y225" s="180">
        <v>0</v>
      </c>
    </row>
    <row r="226" spans="1:25" ht="24" x14ac:dyDescent="0.3">
      <c r="A226" s="67" t="s">
        <v>458</v>
      </c>
      <c r="B226" s="946" t="s">
        <v>459</v>
      </c>
      <c r="C226" s="946"/>
      <c r="D226" s="946"/>
      <c r="E226" s="946"/>
      <c r="F226" s="946"/>
      <c r="G226" s="946"/>
      <c r="H226" s="946"/>
      <c r="I226" s="946"/>
      <c r="J226" s="946"/>
      <c r="K226" s="946"/>
      <c r="L226" s="946"/>
      <c r="M226" s="946"/>
      <c r="N226" s="946"/>
      <c r="O226" s="946"/>
      <c r="P226" s="946"/>
      <c r="Q226" s="946"/>
      <c r="R226" s="946"/>
      <c r="S226" s="946"/>
      <c r="T226" s="946"/>
      <c r="U226" s="56"/>
      <c r="V226" s="57"/>
      <c r="W226" s="57"/>
      <c r="X226" s="57"/>
      <c r="Y226" s="57"/>
    </row>
    <row r="227" spans="1:25" ht="24" x14ac:dyDescent="0.3">
      <c r="A227" s="66" t="s">
        <v>460</v>
      </c>
      <c r="B227" s="945" t="s">
        <v>461</v>
      </c>
      <c r="C227" s="945"/>
      <c r="D227" s="945"/>
      <c r="E227" s="945"/>
      <c r="F227" s="945"/>
      <c r="G227" s="945"/>
      <c r="H227" s="945"/>
      <c r="I227" s="945"/>
      <c r="J227" s="945"/>
      <c r="K227" s="945"/>
      <c r="L227" s="945"/>
      <c r="M227" s="945"/>
      <c r="N227" s="945"/>
      <c r="O227" s="945"/>
      <c r="P227" s="945"/>
      <c r="Q227" s="945"/>
      <c r="R227" s="945"/>
      <c r="S227" s="945"/>
      <c r="T227" s="945"/>
      <c r="U227" s="51"/>
      <c r="V227" s="52"/>
      <c r="W227" s="52"/>
      <c r="X227" s="52"/>
      <c r="Y227" s="52"/>
    </row>
    <row r="228" spans="1:25" s="4" customFormat="1" ht="120" x14ac:dyDescent="0.3">
      <c r="A228" s="152" t="s">
        <v>462</v>
      </c>
      <c r="B228" s="189" t="s">
        <v>464</v>
      </c>
      <c r="C228" s="188" t="s">
        <v>1168</v>
      </c>
      <c r="D228" s="193" t="s">
        <v>28</v>
      </c>
      <c r="E228" s="193" t="s">
        <v>463</v>
      </c>
      <c r="F228" s="817" t="s">
        <v>1073</v>
      </c>
      <c r="G228" s="871" t="s">
        <v>1074</v>
      </c>
      <c r="H228" s="871" t="s">
        <v>1171</v>
      </c>
      <c r="I228" s="871" t="s">
        <v>1172</v>
      </c>
      <c r="J228" s="871" t="s">
        <v>1172</v>
      </c>
      <c r="K228" s="871" t="s">
        <v>1172</v>
      </c>
      <c r="L228" s="871" t="s">
        <v>1173</v>
      </c>
      <c r="M228" s="871" t="s">
        <v>1174</v>
      </c>
      <c r="N228" s="871" t="s">
        <v>1175</v>
      </c>
      <c r="O228" s="871" t="s">
        <v>1176</v>
      </c>
      <c r="P228" s="871" t="s">
        <v>1177</v>
      </c>
      <c r="Q228" s="871" t="s">
        <v>1178</v>
      </c>
      <c r="R228" s="871" t="s">
        <v>1179</v>
      </c>
      <c r="S228" s="871" t="s">
        <v>1180</v>
      </c>
      <c r="T228" s="871" t="s">
        <v>1415</v>
      </c>
      <c r="U228" s="181">
        <v>1011015.4</v>
      </c>
      <c r="V228" s="180">
        <v>0</v>
      </c>
      <c r="W228" s="180">
        <v>0</v>
      </c>
      <c r="X228" s="180">
        <v>0</v>
      </c>
      <c r="Y228" s="180">
        <v>11015.4</v>
      </c>
    </row>
    <row r="229" spans="1:25" s="4" customFormat="1" ht="124.5" customHeight="1" x14ac:dyDescent="0.3">
      <c r="A229" s="152" t="s">
        <v>472</v>
      </c>
      <c r="B229" s="189" t="s">
        <v>465</v>
      </c>
      <c r="C229" s="188" t="s">
        <v>869</v>
      </c>
      <c r="D229" s="193" t="s">
        <v>28</v>
      </c>
      <c r="E229" s="193" t="s">
        <v>463</v>
      </c>
      <c r="F229" s="868"/>
      <c r="G229" s="872"/>
      <c r="H229" s="872"/>
      <c r="I229" s="872"/>
      <c r="J229" s="872"/>
      <c r="K229" s="872"/>
      <c r="L229" s="872"/>
      <c r="M229" s="872"/>
      <c r="N229" s="872"/>
      <c r="O229" s="872"/>
      <c r="P229" s="872"/>
      <c r="Q229" s="872"/>
      <c r="R229" s="872"/>
      <c r="S229" s="872"/>
      <c r="T229" s="872"/>
      <c r="U229" s="181">
        <v>9000000</v>
      </c>
      <c r="V229" s="180">
        <v>0</v>
      </c>
      <c r="W229" s="180">
        <v>0</v>
      </c>
      <c r="X229" s="180">
        <v>0</v>
      </c>
      <c r="Y229" s="180">
        <v>0</v>
      </c>
    </row>
    <row r="230" spans="1:25" s="4" customFormat="1" ht="96" x14ac:dyDescent="0.3">
      <c r="A230" s="152" t="s">
        <v>473</v>
      </c>
      <c r="B230" s="170" t="s">
        <v>466</v>
      </c>
      <c r="C230" s="170" t="s">
        <v>467</v>
      </c>
      <c r="D230" s="193" t="s">
        <v>468</v>
      </c>
      <c r="E230" s="193" t="s">
        <v>469</v>
      </c>
      <c r="F230" s="868"/>
      <c r="G230" s="872"/>
      <c r="H230" s="872"/>
      <c r="I230" s="872"/>
      <c r="J230" s="872"/>
      <c r="K230" s="872"/>
      <c r="L230" s="872"/>
      <c r="M230" s="872"/>
      <c r="N230" s="872"/>
      <c r="O230" s="872"/>
      <c r="P230" s="872"/>
      <c r="Q230" s="872"/>
      <c r="R230" s="872"/>
      <c r="S230" s="872"/>
      <c r="T230" s="872"/>
      <c r="U230" s="181">
        <v>0</v>
      </c>
      <c r="V230" s="180">
        <v>0</v>
      </c>
      <c r="W230" s="180">
        <v>0</v>
      </c>
      <c r="X230" s="180">
        <v>0</v>
      </c>
      <c r="Y230" s="180">
        <v>0</v>
      </c>
    </row>
    <row r="231" spans="1:25" s="4" customFormat="1" ht="96" x14ac:dyDescent="0.3">
      <c r="A231" s="152" t="s">
        <v>476</v>
      </c>
      <c r="B231" s="170" t="s">
        <v>470</v>
      </c>
      <c r="C231" s="170" t="s">
        <v>471</v>
      </c>
      <c r="D231" s="193" t="s">
        <v>468</v>
      </c>
      <c r="E231" s="193" t="s">
        <v>469</v>
      </c>
      <c r="F231" s="818"/>
      <c r="G231" s="873"/>
      <c r="H231" s="873"/>
      <c r="I231" s="873"/>
      <c r="J231" s="873"/>
      <c r="K231" s="873"/>
      <c r="L231" s="873"/>
      <c r="M231" s="873"/>
      <c r="N231" s="873"/>
      <c r="O231" s="873"/>
      <c r="P231" s="873"/>
      <c r="Q231" s="873"/>
      <c r="R231" s="873"/>
      <c r="S231" s="873"/>
      <c r="T231" s="873"/>
      <c r="U231" s="181">
        <v>0</v>
      </c>
      <c r="V231" s="180">
        <v>0</v>
      </c>
      <c r="W231" s="180">
        <v>0</v>
      </c>
      <c r="X231" s="180">
        <v>0</v>
      </c>
      <c r="Y231" s="180">
        <v>0</v>
      </c>
    </row>
    <row r="232" spans="1:25" s="4" customFormat="1" ht="75" customHeight="1" x14ac:dyDescent="0.3">
      <c r="A232" s="844" t="s">
        <v>491</v>
      </c>
      <c r="B232" s="839" t="s">
        <v>474</v>
      </c>
      <c r="C232" s="859" t="s">
        <v>1036</v>
      </c>
      <c r="D232" s="728" t="s">
        <v>1146</v>
      </c>
      <c r="E232" s="714" t="s">
        <v>483</v>
      </c>
      <c r="F232" s="192" t="s">
        <v>475</v>
      </c>
      <c r="G232" s="193" t="s">
        <v>342</v>
      </c>
      <c r="H232" s="50"/>
      <c r="I232" s="50"/>
      <c r="J232" s="50"/>
      <c r="K232" s="50"/>
      <c r="L232" s="50"/>
      <c r="M232" s="50">
        <v>1</v>
      </c>
      <c r="N232" s="50"/>
      <c r="O232" s="50"/>
      <c r="P232" s="50"/>
      <c r="Q232" s="50"/>
      <c r="R232" s="50"/>
      <c r="S232" s="50"/>
      <c r="T232" s="50"/>
      <c r="U232" s="773">
        <v>130000</v>
      </c>
      <c r="V232" s="791">
        <v>0</v>
      </c>
      <c r="W232" s="791">
        <v>0</v>
      </c>
      <c r="X232" s="791">
        <v>0</v>
      </c>
      <c r="Y232" s="791">
        <v>0</v>
      </c>
    </row>
    <row r="233" spans="1:25" s="4" customFormat="1" ht="85.5" customHeight="1" x14ac:dyDescent="0.3">
      <c r="A233" s="845"/>
      <c r="B233" s="840"/>
      <c r="C233" s="861"/>
      <c r="D233" s="729"/>
      <c r="E233" s="715"/>
      <c r="F233" s="192" t="s">
        <v>480</v>
      </c>
      <c r="G233" s="43" t="s">
        <v>342</v>
      </c>
      <c r="H233" s="43"/>
      <c r="I233" s="80"/>
      <c r="J233" s="43"/>
      <c r="K233" s="43"/>
      <c r="L233" s="43"/>
      <c r="M233" s="43">
        <v>33</v>
      </c>
      <c r="N233" s="43">
        <v>33</v>
      </c>
      <c r="O233" s="43">
        <v>33</v>
      </c>
      <c r="P233" s="43">
        <v>33</v>
      </c>
      <c r="Q233" s="43">
        <v>33</v>
      </c>
      <c r="R233" s="43">
        <v>33</v>
      </c>
      <c r="S233" s="43">
        <v>33</v>
      </c>
      <c r="T233" s="43">
        <v>33</v>
      </c>
      <c r="U233" s="774"/>
      <c r="V233" s="792"/>
      <c r="W233" s="792"/>
      <c r="X233" s="792"/>
      <c r="Y233" s="792"/>
    </row>
    <row r="234" spans="1:25" s="4" customFormat="1" ht="120" x14ac:dyDescent="0.3">
      <c r="A234" s="152" t="s">
        <v>492</v>
      </c>
      <c r="B234" s="176" t="s">
        <v>477</v>
      </c>
      <c r="C234" s="188" t="s">
        <v>1331</v>
      </c>
      <c r="D234" s="187" t="s">
        <v>1146</v>
      </c>
      <c r="E234" s="193" t="s">
        <v>1214</v>
      </c>
      <c r="F234" s="192" t="s">
        <v>478</v>
      </c>
      <c r="G234" s="187" t="s">
        <v>479</v>
      </c>
      <c r="H234" s="187">
        <v>860</v>
      </c>
      <c r="I234" s="187">
        <v>88</v>
      </c>
      <c r="J234" s="187">
        <v>103</v>
      </c>
      <c r="K234" s="187">
        <v>45</v>
      </c>
      <c r="L234" s="187">
        <v>45</v>
      </c>
      <c r="M234" s="187">
        <v>45</v>
      </c>
      <c r="N234" s="187">
        <v>45</v>
      </c>
      <c r="O234" s="187">
        <v>45</v>
      </c>
      <c r="P234" s="187">
        <v>45</v>
      </c>
      <c r="Q234" s="187">
        <v>45</v>
      </c>
      <c r="R234" s="187">
        <v>45</v>
      </c>
      <c r="S234" s="187">
        <v>45</v>
      </c>
      <c r="T234" s="187">
        <v>45</v>
      </c>
      <c r="U234" s="181">
        <v>3872683.600000001</v>
      </c>
      <c r="V234" s="180">
        <v>1359</v>
      </c>
      <c r="W234" s="180">
        <v>1358775.7</v>
      </c>
      <c r="X234" s="180">
        <v>0</v>
      </c>
      <c r="Y234" s="180">
        <v>0</v>
      </c>
    </row>
    <row r="235" spans="1:25" s="4" customFormat="1" ht="96" x14ac:dyDescent="0.3">
      <c r="A235" s="152" t="s">
        <v>1101</v>
      </c>
      <c r="B235" s="188" t="s">
        <v>481</v>
      </c>
      <c r="C235" s="188" t="s">
        <v>1332</v>
      </c>
      <c r="D235" s="187" t="s">
        <v>482</v>
      </c>
      <c r="E235" s="187" t="s">
        <v>483</v>
      </c>
      <c r="F235" s="192" t="s">
        <v>484</v>
      </c>
      <c r="G235" s="187" t="s">
        <v>485</v>
      </c>
      <c r="H235" s="187">
        <v>296</v>
      </c>
      <c r="I235" s="209"/>
      <c r="J235" s="209"/>
      <c r="K235" s="209"/>
      <c r="L235" s="209"/>
      <c r="M235" s="187">
        <v>40</v>
      </c>
      <c r="N235" s="187">
        <v>32</v>
      </c>
      <c r="O235" s="187">
        <v>19</v>
      </c>
      <c r="P235" s="187">
        <v>32</v>
      </c>
      <c r="Q235" s="187">
        <v>20</v>
      </c>
      <c r="R235" s="187">
        <v>50</v>
      </c>
      <c r="S235" s="187">
        <v>50</v>
      </c>
      <c r="T235" s="187">
        <v>53</v>
      </c>
      <c r="U235" s="181">
        <v>479598</v>
      </c>
      <c r="V235" s="180">
        <v>0</v>
      </c>
      <c r="W235" s="180">
        <v>0</v>
      </c>
      <c r="X235" s="180">
        <v>0</v>
      </c>
      <c r="Y235" s="180">
        <v>0</v>
      </c>
    </row>
    <row r="236" spans="1:25" s="4" customFormat="1" ht="72" x14ac:dyDescent="0.3">
      <c r="A236" s="844" t="s">
        <v>824</v>
      </c>
      <c r="B236" s="859" t="s">
        <v>870</v>
      </c>
      <c r="C236" s="859" t="s">
        <v>1333</v>
      </c>
      <c r="D236" s="728" t="s">
        <v>486</v>
      </c>
      <c r="E236" s="728" t="s">
        <v>52</v>
      </c>
      <c r="F236" s="192" t="s">
        <v>487</v>
      </c>
      <c r="G236" s="187" t="s">
        <v>488</v>
      </c>
      <c r="H236" s="187">
        <v>854</v>
      </c>
      <c r="I236" s="187">
        <v>104</v>
      </c>
      <c r="J236" s="187">
        <v>0</v>
      </c>
      <c r="K236" s="187">
        <v>44</v>
      </c>
      <c r="L236" s="187">
        <v>61</v>
      </c>
      <c r="M236" s="187">
        <v>26</v>
      </c>
      <c r="N236" s="187">
        <v>27</v>
      </c>
      <c r="O236" s="187">
        <v>27</v>
      </c>
      <c r="P236" s="187">
        <v>26</v>
      </c>
      <c r="Q236" s="187">
        <v>20</v>
      </c>
      <c r="R236" s="187">
        <v>20</v>
      </c>
      <c r="S236" s="187">
        <v>23</v>
      </c>
      <c r="T236" s="187">
        <v>23</v>
      </c>
      <c r="U236" s="773">
        <v>4487039.3</v>
      </c>
      <c r="V236" s="791">
        <v>0</v>
      </c>
      <c r="W236" s="791">
        <v>0</v>
      </c>
      <c r="X236" s="791">
        <v>0</v>
      </c>
      <c r="Y236" s="791">
        <v>1987585.4</v>
      </c>
    </row>
    <row r="237" spans="1:25" s="4" customFormat="1" ht="96" x14ac:dyDescent="0.3">
      <c r="A237" s="845"/>
      <c r="B237" s="861"/>
      <c r="C237" s="861"/>
      <c r="D237" s="729"/>
      <c r="E237" s="729"/>
      <c r="F237" s="192" t="s">
        <v>995</v>
      </c>
      <c r="G237" s="187" t="s">
        <v>62</v>
      </c>
      <c r="H237" s="187">
        <v>99.5</v>
      </c>
      <c r="I237" s="187">
        <v>99.4</v>
      </c>
      <c r="J237" s="187">
        <v>99.2</v>
      </c>
      <c r="K237" s="187">
        <v>99</v>
      </c>
      <c r="L237" s="187">
        <v>98.5</v>
      </c>
      <c r="M237" s="187">
        <v>97.5</v>
      </c>
      <c r="N237" s="187">
        <v>97</v>
      </c>
      <c r="O237" s="187">
        <v>95.9</v>
      </c>
      <c r="P237" s="187">
        <v>95.2</v>
      </c>
      <c r="Q237" s="187">
        <v>94.6</v>
      </c>
      <c r="R237" s="187">
        <v>94</v>
      </c>
      <c r="S237" s="187">
        <v>93.7</v>
      </c>
      <c r="T237" s="187">
        <v>93.2</v>
      </c>
      <c r="U237" s="774"/>
      <c r="V237" s="792"/>
      <c r="W237" s="792"/>
      <c r="X237" s="792"/>
      <c r="Y237" s="792"/>
    </row>
    <row r="238" spans="1:25" s="4" customFormat="1" ht="96" x14ac:dyDescent="0.3">
      <c r="A238" s="152" t="s">
        <v>825</v>
      </c>
      <c r="B238" s="189" t="s">
        <v>541</v>
      </c>
      <c r="C238" s="188" t="s">
        <v>1334</v>
      </c>
      <c r="D238" s="193" t="s">
        <v>482</v>
      </c>
      <c r="E238" s="193" t="s">
        <v>52</v>
      </c>
      <c r="F238" s="192" t="s">
        <v>542</v>
      </c>
      <c r="G238" s="187" t="s">
        <v>488</v>
      </c>
      <c r="H238" s="187">
        <v>860</v>
      </c>
      <c r="I238" s="187">
        <v>45</v>
      </c>
      <c r="J238" s="187">
        <v>45</v>
      </c>
      <c r="K238" s="187">
        <v>45</v>
      </c>
      <c r="L238" s="187">
        <v>45</v>
      </c>
      <c r="M238" s="187">
        <v>45</v>
      </c>
      <c r="N238" s="187">
        <v>45</v>
      </c>
      <c r="O238" s="187">
        <v>45</v>
      </c>
      <c r="P238" s="187">
        <v>45</v>
      </c>
      <c r="Q238" s="187">
        <v>45</v>
      </c>
      <c r="R238" s="187">
        <v>45</v>
      </c>
      <c r="S238" s="187">
        <v>45</v>
      </c>
      <c r="T238" s="187">
        <v>45</v>
      </c>
      <c r="U238" s="181">
        <v>5092875.1000000006</v>
      </c>
      <c r="V238" s="180">
        <v>1190854</v>
      </c>
      <c r="W238" s="180">
        <v>0</v>
      </c>
      <c r="X238" s="180">
        <v>0</v>
      </c>
      <c r="Y238" s="180">
        <v>0</v>
      </c>
    </row>
    <row r="239" spans="1:25" s="4" customFormat="1" ht="144" x14ac:dyDescent="0.3">
      <c r="A239" s="152" t="s">
        <v>826</v>
      </c>
      <c r="B239" s="188" t="s">
        <v>489</v>
      </c>
      <c r="C239" s="188" t="s">
        <v>1335</v>
      </c>
      <c r="D239" s="187" t="s">
        <v>1183</v>
      </c>
      <c r="E239" s="187" t="s">
        <v>52</v>
      </c>
      <c r="F239" s="192" t="s">
        <v>490</v>
      </c>
      <c r="G239" s="187" t="s">
        <v>485</v>
      </c>
      <c r="H239" s="187">
        <v>1520</v>
      </c>
      <c r="I239" s="187">
        <f>160+83</f>
        <v>243</v>
      </c>
      <c r="J239" s="187">
        <f>160+30</f>
        <v>190</v>
      </c>
      <c r="K239" s="187">
        <v>30</v>
      </c>
      <c r="L239" s="187">
        <f>159+85</f>
        <v>244</v>
      </c>
      <c r="M239" s="187">
        <f t="shared" ref="M239:S239" si="4">159+85</f>
        <v>244</v>
      </c>
      <c r="N239" s="187">
        <f t="shared" si="4"/>
        <v>244</v>
      </c>
      <c r="O239" s="187">
        <f t="shared" si="4"/>
        <v>244</v>
      </c>
      <c r="P239" s="187">
        <f t="shared" si="4"/>
        <v>244</v>
      </c>
      <c r="Q239" s="187">
        <f t="shared" si="4"/>
        <v>244</v>
      </c>
      <c r="R239" s="187">
        <f t="shared" si="4"/>
        <v>244</v>
      </c>
      <c r="S239" s="187">
        <f t="shared" si="4"/>
        <v>244</v>
      </c>
      <c r="T239" s="187">
        <f>159+84</f>
        <v>243</v>
      </c>
      <c r="U239" s="181">
        <v>3421623.7</v>
      </c>
      <c r="V239" s="180">
        <v>114136.4</v>
      </c>
      <c r="W239" s="180">
        <v>257957.3</v>
      </c>
      <c r="X239" s="180">
        <v>0</v>
      </c>
      <c r="Y239" s="180">
        <v>0</v>
      </c>
    </row>
    <row r="240" spans="1:25" s="4" customFormat="1" ht="120" x14ac:dyDescent="0.3">
      <c r="A240" s="758" t="s">
        <v>827</v>
      </c>
      <c r="B240" s="839" t="s">
        <v>1147</v>
      </c>
      <c r="C240" s="167" t="s">
        <v>1336</v>
      </c>
      <c r="D240" s="193" t="s">
        <v>28</v>
      </c>
      <c r="E240" s="50" t="s">
        <v>330</v>
      </c>
      <c r="F240" s="192" t="s">
        <v>1102</v>
      </c>
      <c r="G240" s="50" t="s">
        <v>117</v>
      </c>
      <c r="H240" s="50"/>
      <c r="I240" s="99"/>
      <c r="J240" s="50" t="s">
        <v>118</v>
      </c>
      <c r="K240" s="50" t="s">
        <v>118</v>
      </c>
      <c r="L240" s="50"/>
      <c r="M240" s="50"/>
      <c r="N240" s="50"/>
      <c r="O240" s="50"/>
      <c r="P240" s="50"/>
      <c r="Q240" s="50"/>
      <c r="R240" s="50"/>
      <c r="S240" s="50"/>
      <c r="T240" s="50"/>
      <c r="U240" s="181">
        <v>9000</v>
      </c>
      <c r="V240" s="180">
        <v>9000</v>
      </c>
      <c r="W240" s="180">
        <v>0</v>
      </c>
      <c r="X240" s="180">
        <v>0</v>
      </c>
      <c r="Y240" s="180">
        <v>0</v>
      </c>
    </row>
    <row r="241" spans="1:25" s="4" customFormat="1" ht="96" x14ac:dyDescent="0.3">
      <c r="A241" s="758"/>
      <c r="B241" s="856"/>
      <c r="C241" s="188" t="s">
        <v>1337</v>
      </c>
      <c r="D241" s="193" t="s">
        <v>28</v>
      </c>
      <c r="E241" s="50" t="s">
        <v>336</v>
      </c>
      <c r="F241" s="192" t="s">
        <v>1103</v>
      </c>
      <c r="G241" s="50" t="s">
        <v>117</v>
      </c>
      <c r="H241" s="50"/>
      <c r="I241" s="99"/>
      <c r="J241" s="50"/>
      <c r="K241" s="50"/>
      <c r="L241" s="50" t="s">
        <v>118</v>
      </c>
      <c r="M241" s="50" t="s">
        <v>118</v>
      </c>
      <c r="N241" s="50"/>
      <c r="O241" s="50"/>
      <c r="P241" s="50"/>
      <c r="Q241" s="50"/>
      <c r="R241" s="50"/>
      <c r="S241" s="50"/>
      <c r="T241" s="50"/>
      <c r="U241" s="181">
        <v>800000</v>
      </c>
      <c r="V241" s="180">
        <v>0</v>
      </c>
      <c r="W241" s="180">
        <v>0</v>
      </c>
      <c r="X241" s="180">
        <v>0</v>
      </c>
      <c r="Y241" s="180">
        <v>0</v>
      </c>
    </row>
    <row r="242" spans="1:25" s="4" customFormat="1" ht="48" x14ac:dyDescent="0.3">
      <c r="A242" s="758"/>
      <c r="B242" s="840"/>
      <c r="C242" s="188" t="s">
        <v>1338</v>
      </c>
      <c r="D242" s="193" t="s">
        <v>28</v>
      </c>
      <c r="E242" s="50">
        <v>2024</v>
      </c>
      <c r="F242" s="192" t="s">
        <v>1104</v>
      </c>
      <c r="G242" s="50" t="s">
        <v>117</v>
      </c>
      <c r="H242" s="50"/>
      <c r="I242" s="99"/>
      <c r="J242" s="50"/>
      <c r="K242" s="50"/>
      <c r="L242" s="50"/>
      <c r="M242" s="50"/>
      <c r="N242" s="50" t="s">
        <v>118</v>
      </c>
      <c r="O242" s="50"/>
      <c r="P242" s="50"/>
      <c r="Q242" s="50"/>
      <c r="R242" s="50"/>
      <c r="S242" s="50"/>
      <c r="T242" s="50"/>
      <c r="U242" s="181">
        <v>200000</v>
      </c>
      <c r="V242" s="180">
        <v>0</v>
      </c>
      <c r="W242" s="180">
        <v>0</v>
      </c>
      <c r="X242" s="180">
        <v>0</v>
      </c>
      <c r="Y242" s="180">
        <v>0</v>
      </c>
    </row>
    <row r="243" spans="1:25" s="4" customFormat="1" ht="128.25" customHeight="1" x14ac:dyDescent="0.3">
      <c r="A243" s="152" t="s">
        <v>828</v>
      </c>
      <c r="B243" s="176" t="s">
        <v>493</v>
      </c>
      <c r="C243" s="188" t="s">
        <v>1339</v>
      </c>
      <c r="D243" s="193" t="s">
        <v>494</v>
      </c>
      <c r="E243" s="50" t="s">
        <v>52</v>
      </c>
      <c r="F243" s="192" t="s">
        <v>495</v>
      </c>
      <c r="G243" s="193" t="s">
        <v>286</v>
      </c>
      <c r="H243" s="50">
        <v>67</v>
      </c>
      <c r="I243" s="50">
        <v>106</v>
      </c>
      <c r="J243" s="50">
        <v>147</v>
      </c>
      <c r="K243" s="50">
        <v>224</v>
      </c>
      <c r="L243" s="50">
        <v>224</v>
      </c>
      <c r="M243" s="50">
        <v>224</v>
      </c>
      <c r="N243" s="50">
        <v>223</v>
      </c>
      <c r="O243" s="50">
        <v>223</v>
      </c>
      <c r="P243" s="50">
        <v>223</v>
      </c>
      <c r="Q243" s="50">
        <v>223</v>
      </c>
      <c r="R243" s="50">
        <v>223</v>
      </c>
      <c r="S243" s="50">
        <v>223</v>
      </c>
      <c r="T243" s="50">
        <v>223</v>
      </c>
      <c r="U243" s="181">
        <v>815408.00000000012</v>
      </c>
      <c r="V243" s="180">
        <v>43709</v>
      </c>
      <c r="W243" s="180">
        <v>0</v>
      </c>
      <c r="X243" s="180">
        <v>0</v>
      </c>
      <c r="Y243" s="180">
        <v>0</v>
      </c>
    </row>
    <row r="244" spans="1:25" s="4" customFormat="1" ht="144" x14ac:dyDescent="0.3">
      <c r="A244" s="152" t="s">
        <v>829</v>
      </c>
      <c r="B244" s="176" t="s">
        <v>496</v>
      </c>
      <c r="C244" s="188" t="s">
        <v>1340</v>
      </c>
      <c r="D244" s="193" t="s">
        <v>494</v>
      </c>
      <c r="E244" s="50" t="s">
        <v>52</v>
      </c>
      <c r="F244" s="192" t="s">
        <v>497</v>
      </c>
      <c r="G244" s="193" t="s">
        <v>288</v>
      </c>
      <c r="H244" s="50">
        <v>138</v>
      </c>
      <c r="I244" s="50">
        <v>102</v>
      </c>
      <c r="J244" s="50">
        <v>102</v>
      </c>
      <c r="K244" s="50">
        <v>102</v>
      </c>
      <c r="L244" s="50">
        <v>102</v>
      </c>
      <c r="M244" s="50">
        <v>102</v>
      </c>
      <c r="N244" s="50">
        <v>102</v>
      </c>
      <c r="O244" s="50">
        <v>102</v>
      </c>
      <c r="P244" s="50">
        <v>102</v>
      </c>
      <c r="Q244" s="50">
        <v>102</v>
      </c>
      <c r="R244" s="50">
        <v>102</v>
      </c>
      <c r="S244" s="50">
        <v>102</v>
      </c>
      <c r="T244" s="50">
        <v>102</v>
      </c>
      <c r="U244" s="181">
        <v>246100</v>
      </c>
      <c r="V244" s="180">
        <v>60700</v>
      </c>
      <c r="W244" s="180">
        <v>0</v>
      </c>
      <c r="X244" s="180">
        <v>0</v>
      </c>
      <c r="Y244" s="180">
        <v>0</v>
      </c>
    </row>
    <row r="245" spans="1:25" s="4" customFormat="1" ht="48" x14ac:dyDescent="0.3">
      <c r="A245" s="844" t="s">
        <v>1330</v>
      </c>
      <c r="B245" s="839" t="s">
        <v>925</v>
      </c>
      <c r="C245" s="859" t="s">
        <v>1341</v>
      </c>
      <c r="D245" s="714" t="s">
        <v>482</v>
      </c>
      <c r="E245" s="716" t="s">
        <v>52</v>
      </c>
      <c r="F245" s="192" t="s">
        <v>926</v>
      </c>
      <c r="G245" s="193" t="s">
        <v>479</v>
      </c>
      <c r="H245" s="50" t="s">
        <v>140</v>
      </c>
      <c r="I245" s="50">
        <v>1</v>
      </c>
      <c r="J245" s="50">
        <v>2</v>
      </c>
      <c r="K245" s="50">
        <v>2</v>
      </c>
      <c r="L245" s="50">
        <v>3</v>
      </c>
      <c r="M245" s="50">
        <v>3</v>
      </c>
      <c r="N245" s="50">
        <v>4</v>
      </c>
      <c r="O245" s="50">
        <v>3</v>
      </c>
      <c r="P245" s="50">
        <v>3</v>
      </c>
      <c r="Q245" s="50">
        <v>2</v>
      </c>
      <c r="R245" s="50">
        <v>2</v>
      </c>
      <c r="S245" s="50">
        <v>2</v>
      </c>
      <c r="T245" s="50">
        <v>2</v>
      </c>
      <c r="U245" s="773">
        <v>574437.1</v>
      </c>
      <c r="V245" s="791">
        <v>0</v>
      </c>
      <c r="W245" s="791">
        <v>62905.2</v>
      </c>
      <c r="X245" s="791">
        <v>0</v>
      </c>
      <c r="Y245" s="791">
        <v>0</v>
      </c>
    </row>
    <row r="246" spans="1:25" s="4" customFormat="1" ht="72" x14ac:dyDescent="0.3">
      <c r="A246" s="845"/>
      <c r="B246" s="840"/>
      <c r="C246" s="861"/>
      <c r="D246" s="715"/>
      <c r="E246" s="717"/>
      <c r="F246" s="192" t="s">
        <v>927</v>
      </c>
      <c r="G246" s="193" t="s">
        <v>62</v>
      </c>
      <c r="H246" s="50">
        <v>0.7</v>
      </c>
      <c r="I246" s="50">
        <v>0.4</v>
      </c>
      <c r="J246" s="50">
        <v>0.2</v>
      </c>
      <c r="K246" s="50"/>
      <c r="L246" s="50"/>
      <c r="M246" s="50"/>
      <c r="N246" s="50"/>
      <c r="O246" s="50"/>
      <c r="P246" s="50"/>
      <c r="Q246" s="50"/>
      <c r="R246" s="50"/>
      <c r="S246" s="50"/>
      <c r="T246" s="50"/>
      <c r="U246" s="774"/>
      <c r="V246" s="792"/>
      <c r="W246" s="792"/>
      <c r="X246" s="792"/>
      <c r="Y246" s="792"/>
    </row>
    <row r="247" spans="1:25" ht="24" x14ac:dyDescent="0.3">
      <c r="A247" s="66" t="s">
        <v>498</v>
      </c>
      <c r="B247" s="945" t="s">
        <v>499</v>
      </c>
      <c r="C247" s="945"/>
      <c r="D247" s="945"/>
      <c r="E247" s="945"/>
      <c r="F247" s="945"/>
      <c r="G247" s="945"/>
      <c r="H247" s="945"/>
      <c r="I247" s="945"/>
      <c r="J247" s="945"/>
      <c r="K247" s="945"/>
      <c r="L247" s="945"/>
      <c r="M247" s="945"/>
      <c r="N247" s="945"/>
      <c r="O247" s="945"/>
      <c r="P247" s="945"/>
      <c r="Q247" s="945"/>
      <c r="R247" s="945"/>
      <c r="S247" s="945"/>
      <c r="T247" s="945"/>
      <c r="U247" s="51"/>
      <c r="V247" s="52"/>
      <c r="W247" s="52"/>
      <c r="X247" s="52"/>
      <c r="Y247" s="52"/>
    </row>
    <row r="248" spans="1:25" s="5" customFormat="1" ht="384" x14ac:dyDescent="0.3">
      <c r="A248" s="190" t="s">
        <v>500</v>
      </c>
      <c r="B248" s="182" t="s">
        <v>501</v>
      </c>
      <c r="C248" s="81" t="s">
        <v>502</v>
      </c>
      <c r="D248" s="193" t="s">
        <v>842</v>
      </c>
      <c r="E248" s="193" t="s">
        <v>49</v>
      </c>
      <c r="F248" s="74" t="s">
        <v>1105</v>
      </c>
      <c r="G248" s="193"/>
      <c r="H248" s="193"/>
      <c r="I248" s="193"/>
      <c r="J248" s="193"/>
      <c r="K248" s="193"/>
      <c r="L248" s="193"/>
      <c r="M248" s="193"/>
      <c r="N248" s="193"/>
      <c r="O248" s="193"/>
      <c r="P248" s="193" t="s">
        <v>118</v>
      </c>
      <c r="Q248" s="193"/>
      <c r="R248" s="193"/>
      <c r="S248" s="193"/>
      <c r="T248" s="193"/>
      <c r="U248" s="181">
        <v>0</v>
      </c>
      <c r="V248" s="180">
        <v>0</v>
      </c>
      <c r="W248" s="180">
        <v>0</v>
      </c>
      <c r="X248" s="180">
        <v>0</v>
      </c>
      <c r="Y248" s="180">
        <v>0</v>
      </c>
    </row>
    <row r="249" spans="1:25" s="5" customFormat="1" ht="409.5" x14ac:dyDescent="0.3">
      <c r="A249" s="862" t="s">
        <v>503</v>
      </c>
      <c r="B249" s="839" t="s">
        <v>504</v>
      </c>
      <c r="C249" s="182" t="s">
        <v>1137</v>
      </c>
      <c r="D249" s="714" t="s">
        <v>1184</v>
      </c>
      <c r="E249" s="203" t="s">
        <v>1436</v>
      </c>
      <c r="F249" s="192" t="s">
        <v>505</v>
      </c>
      <c r="G249" s="187" t="s">
        <v>506</v>
      </c>
      <c r="H249" s="139">
        <v>3004.88</v>
      </c>
      <c r="I249" s="139">
        <v>2560.5</v>
      </c>
      <c r="J249" s="139">
        <v>2483.6999999999998</v>
      </c>
      <c r="K249" s="139">
        <v>2410</v>
      </c>
      <c r="L249" s="193"/>
      <c r="M249" s="193"/>
      <c r="N249" s="193"/>
      <c r="O249" s="193"/>
      <c r="P249" s="193"/>
      <c r="Q249" s="193"/>
      <c r="R249" s="193"/>
      <c r="S249" s="193"/>
      <c r="T249" s="193"/>
      <c r="U249" s="181">
        <v>714993.50000000012</v>
      </c>
      <c r="V249" s="180">
        <v>64276</v>
      </c>
      <c r="W249" s="180">
        <v>0</v>
      </c>
      <c r="X249" s="180">
        <v>0</v>
      </c>
      <c r="Y249" s="180">
        <v>114472.3</v>
      </c>
    </row>
    <row r="250" spans="1:25" s="5" customFormat="1" ht="92.25" customHeight="1" x14ac:dyDescent="0.3">
      <c r="A250" s="869"/>
      <c r="B250" s="856"/>
      <c r="C250" s="182" t="s">
        <v>507</v>
      </c>
      <c r="D250" s="748"/>
      <c r="E250" s="203" t="s">
        <v>36</v>
      </c>
      <c r="F250" s="192" t="s">
        <v>508</v>
      </c>
      <c r="G250" s="187" t="s">
        <v>62</v>
      </c>
      <c r="H250" s="126">
        <v>33</v>
      </c>
      <c r="I250" s="50">
        <v>30</v>
      </c>
      <c r="J250" s="50">
        <v>26</v>
      </c>
      <c r="K250" s="50">
        <v>22</v>
      </c>
      <c r="L250" s="50">
        <v>19</v>
      </c>
      <c r="M250" s="50">
        <v>16</v>
      </c>
      <c r="N250" s="50">
        <v>13</v>
      </c>
      <c r="O250" s="50">
        <v>10</v>
      </c>
      <c r="P250" s="187"/>
      <c r="Q250" s="187"/>
      <c r="R250" s="187"/>
      <c r="S250" s="187"/>
      <c r="T250" s="187"/>
      <c r="U250" s="181">
        <v>5711253</v>
      </c>
      <c r="V250" s="180">
        <v>0</v>
      </c>
      <c r="W250" s="180">
        <v>0</v>
      </c>
      <c r="X250" s="180">
        <v>0</v>
      </c>
      <c r="Y250" s="180">
        <v>2551682</v>
      </c>
    </row>
    <row r="251" spans="1:25" s="5" customFormat="1" ht="86.25" customHeight="1" x14ac:dyDescent="0.3">
      <c r="A251" s="869"/>
      <c r="B251" s="856"/>
      <c r="C251" s="182" t="s">
        <v>1342</v>
      </c>
      <c r="D251" s="748"/>
      <c r="E251" s="203" t="s">
        <v>36</v>
      </c>
      <c r="F251" s="192" t="s">
        <v>508</v>
      </c>
      <c r="G251" s="187" t="s">
        <v>62</v>
      </c>
      <c r="H251" s="126">
        <v>73.3</v>
      </c>
      <c r="I251" s="210">
        <v>72</v>
      </c>
      <c r="J251" s="210">
        <v>71</v>
      </c>
      <c r="K251" s="210">
        <v>68</v>
      </c>
      <c r="L251" s="210">
        <v>65</v>
      </c>
      <c r="M251" s="210">
        <v>63</v>
      </c>
      <c r="N251" s="210">
        <v>60</v>
      </c>
      <c r="O251" s="210">
        <v>58</v>
      </c>
      <c r="P251" s="187"/>
      <c r="Q251" s="187"/>
      <c r="R251" s="187"/>
      <c r="S251" s="187"/>
      <c r="T251" s="187"/>
      <c r="U251" s="181">
        <v>11016577</v>
      </c>
      <c r="V251" s="180">
        <v>0</v>
      </c>
      <c r="W251" s="180">
        <v>0</v>
      </c>
      <c r="X251" s="180">
        <v>0</v>
      </c>
      <c r="Y251" s="180">
        <v>5832467</v>
      </c>
    </row>
    <row r="252" spans="1:25" s="5" customFormat="1" ht="120" x14ac:dyDescent="0.3">
      <c r="A252" s="869"/>
      <c r="B252" s="856"/>
      <c r="C252" s="182" t="s">
        <v>1037</v>
      </c>
      <c r="D252" s="748"/>
      <c r="E252" s="203" t="s">
        <v>509</v>
      </c>
      <c r="F252" s="192" t="s">
        <v>510</v>
      </c>
      <c r="G252" s="187" t="s">
        <v>62</v>
      </c>
      <c r="H252" s="162">
        <v>77.8</v>
      </c>
      <c r="I252" s="162">
        <v>86</v>
      </c>
      <c r="J252" s="162">
        <v>81.8</v>
      </c>
      <c r="K252" s="162">
        <v>81.8</v>
      </c>
      <c r="L252" s="162">
        <v>77.8</v>
      </c>
      <c r="M252" s="162">
        <v>70.2</v>
      </c>
      <c r="N252" s="162">
        <v>63.3</v>
      </c>
      <c r="O252" s="162">
        <v>56.9</v>
      </c>
      <c r="P252" s="187"/>
      <c r="Q252" s="187"/>
      <c r="R252" s="187"/>
      <c r="S252" s="187"/>
      <c r="T252" s="187"/>
      <c r="U252" s="181">
        <v>427799.2</v>
      </c>
      <c r="V252" s="180">
        <v>0</v>
      </c>
      <c r="W252" s="180">
        <v>0</v>
      </c>
      <c r="X252" s="180">
        <v>0</v>
      </c>
      <c r="Y252" s="180">
        <v>427799.2</v>
      </c>
    </row>
    <row r="253" spans="1:25" s="5" customFormat="1" ht="168" x14ac:dyDescent="0.3">
      <c r="A253" s="863"/>
      <c r="B253" s="840"/>
      <c r="C253" s="182" t="s">
        <v>956</v>
      </c>
      <c r="D253" s="715"/>
      <c r="E253" s="203" t="s">
        <v>1437</v>
      </c>
      <c r="F253" s="73" t="s">
        <v>511</v>
      </c>
      <c r="G253" s="187" t="s">
        <v>31</v>
      </c>
      <c r="H253" s="187">
        <v>0</v>
      </c>
      <c r="I253" s="187">
        <v>2</v>
      </c>
      <c r="J253" s="187">
        <v>2</v>
      </c>
      <c r="K253" s="187">
        <v>4</v>
      </c>
      <c r="L253" s="187">
        <v>5</v>
      </c>
      <c r="M253" s="187">
        <v>5</v>
      </c>
      <c r="N253" s="187">
        <v>5</v>
      </c>
      <c r="O253" s="187">
        <v>5</v>
      </c>
      <c r="P253" s="187">
        <v>5</v>
      </c>
      <c r="Q253" s="187">
        <v>5</v>
      </c>
      <c r="R253" s="187">
        <v>5</v>
      </c>
      <c r="S253" s="187">
        <v>5</v>
      </c>
      <c r="T253" s="187">
        <v>5</v>
      </c>
      <c r="U253" s="181">
        <v>1729300</v>
      </c>
      <c r="V253" s="180">
        <v>0</v>
      </c>
      <c r="W253" s="180">
        <v>0</v>
      </c>
      <c r="X253" s="180">
        <v>0</v>
      </c>
      <c r="Y253" s="180">
        <v>926700</v>
      </c>
    </row>
    <row r="254" spans="1:25" s="5" customFormat="1" ht="288" x14ac:dyDescent="0.3">
      <c r="A254" s="190" t="s">
        <v>512</v>
      </c>
      <c r="B254" s="182" t="s">
        <v>513</v>
      </c>
      <c r="C254" s="182" t="s">
        <v>1343</v>
      </c>
      <c r="D254" s="187" t="s">
        <v>514</v>
      </c>
      <c r="E254" s="193" t="s">
        <v>515</v>
      </c>
      <c r="F254" s="74" t="s">
        <v>516</v>
      </c>
      <c r="G254" s="193" t="s">
        <v>117</v>
      </c>
      <c r="H254" s="193"/>
      <c r="I254" s="193" t="s">
        <v>118</v>
      </c>
      <c r="J254" s="193"/>
      <c r="K254" s="193"/>
      <c r="L254" s="193"/>
      <c r="M254" s="193"/>
      <c r="N254" s="193"/>
      <c r="O254" s="193"/>
      <c r="P254" s="193"/>
      <c r="Q254" s="193"/>
      <c r="R254" s="193"/>
      <c r="S254" s="193"/>
      <c r="T254" s="193"/>
      <c r="U254" s="181">
        <v>2261595.2999999998</v>
      </c>
      <c r="V254" s="180">
        <v>16836.400000000001</v>
      </c>
      <c r="W254" s="180">
        <v>0</v>
      </c>
      <c r="X254" s="180">
        <v>0</v>
      </c>
      <c r="Y254" s="180">
        <v>0</v>
      </c>
    </row>
    <row r="255" spans="1:25" s="5" customFormat="1" ht="264" x14ac:dyDescent="0.3">
      <c r="A255" s="190" t="s">
        <v>517</v>
      </c>
      <c r="B255" s="182" t="s">
        <v>518</v>
      </c>
      <c r="C255" s="182" t="s">
        <v>1344</v>
      </c>
      <c r="D255" s="187" t="s">
        <v>514</v>
      </c>
      <c r="E255" s="193" t="s">
        <v>509</v>
      </c>
      <c r="F255" s="192" t="s">
        <v>971</v>
      </c>
      <c r="G255" s="187" t="s">
        <v>31</v>
      </c>
      <c r="H255" s="187"/>
      <c r="I255" s="187"/>
      <c r="J255" s="187">
        <v>1</v>
      </c>
      <c r="K255" s="187"/>
      <c r="L255" s="187"/>
      <c r="M255" s="193"/>
      <c r="N255" s="193"/>
      <c r="O255" s="193"/>
      <c r="P255" s="193"/>
      <c r="Q255" s="193"/>
      <c r="R255" s="193"/>
      <c r="S255" s="193"/>
      <c r="T255" s="193"/>
      <c r="U255" s="181">
        <v>169075.5</v>
      </c>
      <c r="V255" s="180">
        <v>0</v>
      </c>
      <c r="W255" s="180">
        <v>0</v>
      </c>
      <c r="X255" s="180">
        <v>0</v>
      </c>
      <c r="Y255" s="180">
        <v>0</v>
      </c>
    </row>
    <row r="256" spans="1:25" s="5" customFormat="1" ht="144" x14ac:dyDescent="0.3">
      <c r="A256" s="190" t="s">
        <v>1106</v>
      </c>
      <c r="B256" s="182" t="s">
        <v>522</v>
      </c>
      <c r="C256" s="182" t="s">
        <v>523</v>
      </c>
      <c r="D256" s="193" t="s">
        <v>422</v>
      </c>
      <c r="E256" s="193" t="s">
        <v>325</v>
      </c>
      <c r="F256" s="192" t="s">
        <v>996</v>
      </c>
      <c r="G256" s="187" t="s">
        <v>62</v>
      </c>
      <c r="H256" s="187"/>
      <c r="I256" s="187"/>
      <c r="J256" s="187"/>
      <c r="K256" s="187"/>
      <c r="L256" s="187"/>
      <c r="M256" s="187">
        <v>100</v>
      </c>
      <c r="N256" s="193"/>
      <c r="O256" s="193"/>
      <c r="P256" s="193"/>
      <c r="Q256" s="193"/>
      <c r="R256" s="193"/>
      <c r="S256" s="193"/>
      <c r="T256" s="193"/>
      <c r="U256" s="181">
        <v>55000</v>
      </c>
      <c r="V256" s="180">
        <v>0</v>
      </c>
      <c r="W256" s="180">
        <v>0</v>
      </c>
      <c r="X256" s="180">
        <v>0</v>
      </c>
      <c r="Y256" s="180">
        <v>0</v>
      </c>
    </row>
    <row r="257" spans="1:25" s="5" customFormat="1" ht="192" x14ac:dyDescent="0.3">
      <c r="A257" s="190" t="s">
        <v>1107</v>
      </c>
      <c r="B257" s="182" t="s">
        <v>537</v>
      </c>
      <c r="C257" s="182" t="s">
        <v>538</v>
      </c>
      <c r="D257" s="193" t="s">
        <v>422</v>
      </c>
      <c r="E257" s="193" t="s">
        <v>273</v>
      </c>
      <c r="F257" s="192" t="s">
        <v>997</v>
      </c>
      <c r="G257" s="187" t="s">
        <v>62</v>
      </c>
      <c r="H257" s="187"/>
      <c r="I257" s="187"/>
      <c r="J257" s="187">
        <v>100</v>
      </c>
      <c r="K257" s="187"/>
      <c r="L257" s="187"/>
      <c r="M257" s="187"/>
      <c r="N257" s="193"/>
      <c r="O257" s="193"/>
      <c r="P257" s="193"/>
      <c r="Q257" s="193"/>
      <c r="R257" s="193"/>
      <c r="S257" s="193"/>
      <c r="T257" s="193"/>
      <c r="U257" s="181">
        <v>50000</v>
      </c>
      <c r="V257" s="180">
        <v>0</v>
      </c>
      <c r="W257" s="180">
        <v>0</v>
      </c>
      <c r="X257" s="180">
        <v>0</v>
      </c>
      <c r="Y257" s="180">
        <v>0</v>
      </c>
    </row>
    <row r="258" spans="1:25" s="5" customFormat="1" ht="168" x14ac:dyDescent="0.3">
      <c r="A258" s="190" t="s">
        <v>524</v>
      </c>
      <c r="B258" s="182" t="s">
        <v>519</v>
      </c>
      <c r="C258" s="182" t="s">
        <v>1345</v>
      </c>
      <c r="D258" s="187" t="s">
        <v>520</v>
      </c>
      <c r="E258" s="193" t="s">
        <v>521</v>
      </c>
      <c r="F258" s="777" t="s">
        <v>958</v>
      </c>
      <c r="G258" s="714" t="s">
        <v>62</v>
      </c>
      <c r="H258" s="714"/>
      <c r="I258" s="714">
        <v>0</v>
      </c>
      <c r="J258" s="714">
        <v>0.4</v>
      </c>
      <c r="K258" s="714">
        <v>0.4</v>
      </c>
      <c r="L258" s="714">
        <v>0.4</v>
      </c>
      <c r="M258" s="714">
        <v>10</v>
      </c>
      <c r="N258" s="714">
        <v>20</v>
      </c>
      <c r="O258" s="714">
        <v>90</v>
      </c>
      <c r="P258" s="714">
        <v>90</v>
      </c>
      <c r="Q258" s="714">
        <v>90</v>
      </c>
      <c r="R258" s="714">
        <v>90</v>
      </c>
      <c r="S258" s="714">
        <v>90</v>
      </c>
      <c r="T258" s="714">
        <v>99.8</v>
      </c>
      <c r="U258" s="181">
        <v>51340.4</v>
      </c>
      <c r="V258" s="180">
        <v>0</v>
      </c>
      <c r="W258" s="180">
        <v>0</v>
      </c>
      <c r="X258" s="180">
        <v>0</v>
      </c>
      <c r="Y258" s="180">
        <v>0</v>
      </c>
    </row>
    <row r="259" spans="1:25" s="5" customFormat="1" ht="144" x14ac:dyDescent="0.3">
      <c r="A259" s="190" t="s">
        <v>526</v>
      </c>
      <c r="B259" s="182" t="s">
        <v>527</v>
      </c>
      <c r="C259" s="182" t="s">
        <v>1038</v>
      </c>
      <c r="D259" s="193" t="s">
        <v>972</v>
      </c>
      <c r="E259" s="193">
        <v>2022</v>
      </c>
      <c r="F259" s="778"/>
      <c r="G259" s="715"/>
      <c r="H259" s="715"/>
      <c r="I259" s="715"/>
      <c r="J259" s="715"/>
      <c r="K259" s="715"/>
      <c r="L259" s="715"/>
      <c r="M259" s="715"/>
      <c r="N259" s="715"/>
      <c r="O259" s="715"/>
      <c r="P259" s="715"/>
      <c r="Q259" s="715"/>
      <c r="R259" s="715"/>
      <c r="S259" s="715"/>
      <c r="T259" s="715"/>
      <c r="U259" s="181">
        <v>183200</v>
      </c>
      <c r="V259" s="180">
        <v>0</v>
      </c>
      <c r="W259" s="180">
        <v>0</v>
      </c>
      <c r="X259" s="180">
        <v>0</v>
      </c>
      <c r="Y259" s="180">
        <v>0</v>
      </c>
    </row>
    <row r="260" spans="1:25" s="5" customFormat="1" ht="144" x14ac:dyDescent="0.3">
      <c r="A260" s="190" t="s">
        <v>528</v>
      </c>
      <c r="B260" s="182" t="s">
        <v>525</v>
      </c>
      <c r="C260" s="182" t="s">
        <v>1346</v>
      </c>
      <c r="D260" s="193" t="s">
        <v>972</v>
      </c>
      <c r="E260" s="193" t="s">
        <v>258</v>
      </c>
      <c r="F260" s="777" t="s">
        <v>957</v>
      </c>
      <c r="G260" s="714" t="s">
        <v>31</v>
      </c>
      <c r="H260" s="714">
        <v>3</v>
      </c>
      <c r="I260" s="714">
        <v>4</v>
      </c>
      <c r="J260" s="714">
        <v>5</v>
      </c>
      <c r="K260" s="714">
        <v>5</v>
      </c>
      <c r="L260" s="714">
        <v>5</v>
      </c>
      <c r="M260" s="714">
        <v>5</v>
      </c>
      <c r="N260" s="714">
        <v>5</v>
      </c>
      <c r="O260" s="714">
        <v>5</v>
      </c>
      <c r="P260" s="714">
        <v>5</v>
      </c>
      <c r="Q260" s="714">
        <v>5</v>
      </c>
      <c r="R260" s="714">
        <v>5</v>
      </c>
      <c r="S260" s="714">
        <v>5</v>
      </c>
      <c r="T260" s="714">
        <v>5</v>
      </c>
      <c r="U260" s="181">
        <v>20000</v>
      </c>
      <c r="V260" s="180">
        <v>0</v>
      </c>
      <c r="W260" s="180">
        <v>0</v>
      </c>
      <c r="X260" s="180">
        <v>0</v>
      </c>
      <c r="Y260" s="180">
        <v>0</v>
      </c>
    </row>
    <row r="261" spans="1:25" s="5" customFormat="1" ht="144" x14ac:dyDescent="0.3">
      <c r="A261" s="190" t="s">
        <v>530</v>
      </c>
      <c r="B261" s="182" t="s">
        <v>529</v>
      </c>
      <c r="C261" s="182" t="s">
        <v>1039</v>
      </c>
      <c r="D261" s="193" t="s">
        <v>972</v>
      </c>
      <c r="E261" s="193">
        <v>2023</v>
      </c>
      <c r="F261" s="784"/>
      <c r="G261" s="748"/>
      <c r="H261" s="748"/>
      <c r="I261" s="748"/>
      <c r="J261" s="748"/>
      <c r="K261" s="748"/>
      <c r="L261" s="748"/>
      <c r="M261" s="748"/>
      <c r="N261" s="748"/>
      <c r="O261" s="748"/>
      <c r="P261" s="748"/>
      <c r="Q261" s="748"/>
      <c r="R261" s="748"/>
      <c r="S261" s="748"/>
      <c r="T261" s="748"/>
      <c r="U261" s="181">
        <v>1487000</v>
      </c>
      <c r="V261" s="180">
        <v>0</v>
      </c>
      <c r="W261" s="180">
        <v>0</v>
      </c>
      <c r="X261" s="180">
        <v>0</v>
      </c>
      <c r="Y261" s="180">
        <v>0</v>
      </c>
    </row>
    <row r="262" spans="1:25" s="5" customFormat="1" ht="120" x14ac:dyDescent="0.3">
      <c r="A262" s="190" t="s">
        <v>533</v>
      </c>
      <c r="B262" s="182" t="s">
        <v>531</v>
      </c>
      <c r="C262" s="182" t="s">
        <v>532</v>
      </c>
      <c r="D262" s="193" t="s">
        <v>972</v>
      </c>
      <c r="E262" s="193">
        <v>2025</v>
      </c>
      <c r="F262" s="784"/>
      <c r="G262" s="748"/>
      <c r="H262" s="748"/>
      <c r="I262" s="748"/>
      <c r="J262" s="748"/>
      <c r="K262" s="748"/>
      <c r="L262" s="748"/>
      <c r="M262" s="748"/>
      <c r="N262" s="748"/>
      <c r="O262" s="748"/>
      <c r="P262" s="748"/>
      <c r="Q262" s="748"/>
      <c r="R262" s="748"/>
      <c r="S262" s="748"/>
      <c r="T262" s="748"/>
      <c r="U262" s="181">
        <v>39700</v>
      </c>
      <c r="V262" s="180">
        <v>0</v>
      </c>
      <c r="W262" s="180">
        <v>0</v>
      </c>
      <c r="X262" s="180">
        <v>0</v>
      </c>
      <c r="Y262" s="180">
        <v>0</v>
      </c>
    </row>
    <row r="263" spans="1:25" s="5" customFormat="1" ht="120" x14ac:dyDescent="0.3">
      <c r="A263" s="190" t="s">
        <v>536</v>
      </c>
      <c r="B263" s="182" t="s">
        <v>534</v>
      </c>
      <c r="C263" s="182" t="s">
        <v>535</v>
      </c>
      <c r="D263" s="193" t="s">
        <v>972</v>
      </c>
      <c r="E263" s="193">
        <v>2025</v>
      </c>
      <c r="F263" s="778"/>
      <c r="G263" s="715"/>
      <c r="H263" s="715"/>
      <c r="I263" s="715"/>
      <c r="J263" s="715"/>
      <c r="K263" s="715"/>
      <c r="L263" s="715"/>
      <c r="M263" s="715"/>
      <c r="N263" s="715"/>
      <c r="O263" s="715"/>
      <c r="P263" s="715"/>
      <c r="Q263" s="715"/>
      <c r="R263" s="715"/>
      <c r="S263" s="715"/>
      <c r="T263" s="715"/>
      <c r="U263" s="181">
        <v>19400</v>
      </c>
      <c r="V263" s="180">
        <v>0</v>
      </c>
      <c r="W263" s="180">
        <v>0</v>
      </c>
      <c r="X263" s="180">
        <v>0</v>
      </c>
      <c r="Y263" s="180">
        <v>0</v>
      </c>
    </row>
    <row r="264" spans="1:25" ht="24" x14ac:dyDescent="0.3">
      <c r="A264" s="66" t="s">
        <v>539</v>
      </c>
      <c r="B264" s="945" t="s">
        <v>540</v>
      </c>
      <c r="C264" s="945"/>
      <c r="D264" s="945"/>
      <c r="E264" s="945"/>
      <c r="F264" s="945"/>
      <c r="G264" s="945"/>
      <c r="H264" s="945"/>
      <c r="I264" s="945"/>
      <c r="J264" s="945"/>
      <c r="K264" s="945"/>
      <c r="L264" s="945"/>
      <c r="M264" s="945"/>
      <c r="N264" s="945"/>
      <c r="O264" s="945"/>
      <c r="P264" s="945"/>
      <c r="Q264" s="945"/>
      <c r="R264" s="945"/>
      <c r="S264" s="945"/>
      <c r="T264" s="945"/>
      <c r="U264" s="51"/>
      <c r="V264" s="52"/>
      <c r="W264" s="52"/>
      <c r="X264" s="52"/>
      <c r="Y264" s="52"/>
    </row>
    <row r="265" spans="1:25" s="4" customFormat="1" ht="96" x14ac:dyDescent="0.3">
      <c r="A265" s="862" t="s">
        <v>543</v>
      </c>
      <c r="B265" s="804" t="s">
        <v>544</v>
      </c>
      <c r="C265" s="188" t="s">
        <v>545</v>
      </c>
      <c r="D265" s="187" t="s">
        <v>546</v>
      </c>
      <c r="E265" s="187" t="s">
        <v>551</v>
      </c>
      <c r="F265" s="192" t="s">
        <v>547</v>
      </c>
      <c r="G265" s="187" t="s">
        <v>548</v>
      </c>
      <c r="H265" s="187">
        <v>1957.7</v>
      </c>
      <c r="I265" s="187">
        <v>1604.7</v>
      </c>
      <c r="J265" s="124">
        <v>1604.7</v>
      </c>
      <c r="K265" s="124">
        <v>1604.7</v>
      </c>
      <c r="L265" s="124">
        <v>1604.7</v>
      </c>
      <c r="M265" s="124">
        <v>1604.7</v>
      </c>
      <c r="N265" s="124">
        <v>1604.7</v>
      </c>
      <c r="O265" s="124">
        <v>1897.7</v>
      </c>
      <c r="P265" s="193"/>
      <c r="Q265" s="193"/>
      <c r="R265" s="193"/>
      <c r="S265" s="193"/>
      <c r="T265" s="193"/>
      <c r="U265" s="181">
        <v>2428280</v>
      </c>
      <c r="V265" s="180">
        <v>0</v>
      </c>
      <c r="W265" s="180">
        <v>0</v>
      </c>
      <c r="X265" s="180">
        <v>0</v>
      </c>
      <c r="Y265" s="180">
        <v>1784280</v>
      </c>
    </row>
    <row r="266" spans="1:25" s="4" customFormat="1" ht="120" x14ac:dyDescent="0.3">
      <c r="A266" s="869"/>
      <c r="B266" s="852"/>
      <c r="C266" s="188" t="s">
        <v>549</v>
      </c>
      <c r="D266" s="187" t="s">
        <v>550</v>
      </c>
      <c r="E266" s="187" t="s">
        <v>551</v>
      </c>
      <c r="F266" s="192" t="s">
        <v>547</v>
      </c>
      <c r="G266" s="187" t="s">
        <v>548</v>
      </c>
      <c r="H266" s="187">
        <v>1047.972</v>
      </c>
      <c r="I266" s="187">
        <v>815.53</v>
      </c>
      <c r="J266" s="187">
        <v>815.53</v>
      </c>
      <c r="K266" s="187">
        <v>815.53</v>
      </c>
      <c r="L266" s="187">
        <v>815.53</v>
      </c>
      <c r="M266" s="187">
        <v>815.53</v>
      </c>
      <c r="N266" s="187">
        <v>815.53</v>
      </c>
      <c r="O266" s="187">
        <v>1116.53</v>
      </c>
      <c r="P266" s="193"/>
      <c r="Q266" s="193"/>
      <c r="R266" s="193"/>
      <c r="S266" s="193"/>
      <c r="T266" s="193"/>
      <c r="U266" s="181">
        <v>1726024</v>
      </c>
      <c r="V266" s="180">
        <v>0</v>
      </c>
      <c r="W266" s="180">
        <v>0</v>
      </c>
      <c r="X266" s="180">
        <v>0</v>
      </c>
      <c r="Y266" s="180">
        <v>1243528</v>
      </c>
    </row>
    <row r="267" spans="1:25" s="4" customFormat="1" ht="120" x14ac:dyDescent="0.3">
      <c r="A267" s="869"/>
      <c r="B267" s="852"/>
      <c r="C267" s="188" t="s">
        <v>552</v>
      </c>
      <c r="D267" s="187" t="s">
        <v>550</v>
      </c>
      <c r="E267" s="187" t="s">
        <v>551</v>
      </c>
      <c r="F267" s="192" t="s">
        <v>547</v>
      </c>
      <c r="G267" s="187" t="s">
        <v>548</v>
      </c>
      <c r="H267" s="187">
        <v>818.72</v>
      </c>
      <c r="I267" s="187">
        <v>514.54999999999995</v>
      </c>
      <c r="J267" s="187">
        <v>514.54999999999995</v>
      </c>
      <c r="K267" s="187">
        <v>514.54999999999995</v>
      </c>
      <c r="L267" s="187">
        <v>514.54999999999995</v>
      </c>
      <c r="M267" s="187">
        <v>514.54999999999995</v>
      </c>
      <c r="N267" s="187">
        <v>514.54999999999995</v>
      </c>
      <c r="O267" s="187">
        <v>815.55</v>
      </c>
      <c r="P267" s="193"/>
      <c r="Q267" s="193"/>
      <c r="R267" s="193"/>
      <c r="S267" s="193"/>
      <c r="T267" s="193"/>
      <c r="U267" s="181">
        <v>854693</v>
      </c>
      <c r="V267" s="180">
        <v>0</v>
      </c>
      <c r="W267" s="180">
        <v>0</v>
      </c>
      <c r="X267" s="180">
        <v>0</v>
      </c>
      <c r="Y267" s="180">
        <v>594693</v>
      </c>
    </row>
    <row r="268" spans="1:25" s="4" customFormat="1" ht="72" x14ac:dyDescent="0.3">
      <c r="A268" s="863"/>
      <c r="B268" s="805"/>
      <c r="C268" s="189" t="s">
        <v>1347</v>
      </c>
      <c r="D268" s="187" t="s">
        <v>550</v>
      </c>
      <c r="E268" s="187" t="s">
        <v>551</v>
      </c>
      <c r="F268" s="192" t="s">
        <v>553</v>
      </c>
      <c r="G268" s="187" t="s">
        <v>62</v>
      </c>
      <c r="H268" s="187">
        <v>30</v>
      </c>
      <c r="I268" s="187">
        <v>26</v>
      </c>
      <c r="J268" s="187">
        <v>23</v>
      </c>
      <c r="K268" s="187">
        <v>20</v>
      </c>
      <c r="L268" s="187">
        <v>17</v>
      </c>
      <c r="M268" s="187">
        <v>14</v>
      </c>
      <c r="N268" s="187">
        <v>13</v>
      </c>
      <c r="O268" s="187">
        <v>11</v>
      </c>
      <c r="P268" s="193"/>
      <c r="Q268" s="193"/>
      <c r="R268" s="193"/>
      <c r="S268" s="193"/>
      <c r="T268" s="193"/>
      <c r="U268" s="181">
        <v>1094299.8999999999</v>
      </c>
      <c r="V268" s="180">
        <v>74184.899999999994</v>
      </c>
      <c r="W268" s="180">
        <v>50000</v>
      </c>
      <c r="X268" s="180">
        <v>0</v>
      </c>
      <c r="Y268" s="180">
        <v>236400</v>
      </c>
    </row>
    <row r="269" spans="1:25" s="4" customFormat="1" ht="96" x14ac:dyDescent="0.3">
      <c r="A269" s="190" t="s">
        <v>554</v>
      </c>
      <c r="B269" s="189" t="s">
        <v>555</v>
      </c>
      <c r="C269" s="188" t="s">
        <v>1348</v>
      </c>
      <c r="D269" s="193" t="s">
        <v>1148</v>
      </c>
      <c r="E269" s="193">
        <v>2021</v>
      </c>
      <c r="F269" s="192" t="s">
        <v>556</v>
      </c>
      <c r="G269" s="187" t="s">
        <v>62</v>
      </c>
      <c r="H269" s="187">
        <v>0</v>
      </c>
      <c r="I269" s="187">
        <v>30</v>
      </c>
      <c r="J269" s="187">
        <v>70</v>
      </c>
      <c r="K269" s="187">
        <v>100</v>
      </c>
      <c r="L269" s="193"/>
      <c r="M269" s="193"/>
      <c r="N269" s="193"/>
      <c r="O269" s="193"/>
      <c r="P269" s="193"/>
      <c r="Q269" s="193"/>
      <c r="R269" s="193"/>
      <c r="S269" s="193"/>
      <c r="T269" s="193"/>
      <c r="U269" s="181">
        <v>1051250</v>
      </c>
      <c r="V269" s="180">
        <v>0</v>
      </c>
      <c r="W269" s="180">
        <v>0</v>
      </c>
      <c r="X269" s="180">
        <v>0</v>
      </c>
      <c r="Y269" s="180">
        <v>0</v>
      </c>
    </row>
    <row r="270" spans="1:25" s="4" customFormat="1" ht="120" x14ac:dyDescent="0.3">
      <c r="A270" s="862" t="s">
        <v>557</v>
      </c>
      <c r="B270" s="839" t="s">
        <v>558</v>
      </c>
      <c r="C270" s="188" t="s">
        <v>999</v>
      </c>
      <c r="D270" s="187" t="s">
        <v>550</v>
      </c>
      <c r="E270" s="187" t="s">
        <v>551</v>
      </c>
      <c r="F270" s="192" t="s">
        <v>998</v>
      </c>
      <c r="G270" s="187" t="s">
        <v>559</v>
      </c>
      <c r="H270" s="187">
        <v>0</v>
      </c>
      <c r="I270" s="187">
        <v>10</v>
      </c>
      <c r="J270" s="187">
        <v>14</v>
      </c>
      <c r="K270" s="187">
        <v>5</v>
      </c>
      <c r="L270" s="187">
        <v>2</v>
      </c>
      <c r="M270" s="187">
        <v>2</v>
      </c>
      <c r="N270" s="187">
        <v>2</v>
      </c>
      <c r="O270" s="187">
        <v>2</v>
      </c>
      <c r="P270" s="193"/>
      <c r="Q270" s="193"/>
      <c r="R270" s="193"/>
      <c r="S270" s="193"/>
      <c r="T270" s="193"/>
      <c r="U270" s="181">
        <v>1109278</v>
      </c>
      <c r="V270" s="180">
        <v>0</v>
      </c>
      <c r="W270" s="180">
        <v>0</v>
      </c>
      <c r="X270" s="180">
        <v>0</v>
      </c>
      <c r="Y270" s="180">
        <v>465278</v>
      </c>
    </row>
    <row r="271" spans="1:25" s="4" customFormat="1" ht="96" x14ac:dyDescent="0.3">
      <c r="A271" s="869"/>
      <c r="B271" s="856"/>
      <c r="C271" s="188" t="s">
        <v>1000</v>
      </c>
      <c r="D271" s="187" t="s">
        <v>550</v>
      </c>
      <c r="E271" s="187" t="s">
        <v>551</v>
      </c>
      <c r="F271" s="192" t="s">
        <v>998</v>
      </c>
      <c r="G271" s="187" t="s">
        <v>559</v>
      </c>
      <c r="H271" s="187">
        <v>0</v>
      </c>
      <c r="I271" s="187">
        <v>50</v>
      </c>
      <c r="J271" s="187">
        <v>50</v>
      </c>
      <c r="K271" s="187">
        <v>54</v>
      </c>
      <c r="L271" s="187">
        <v>67</v>
      </c>
      <c r="M271" s="187">
        <v>63</v>
      </c>
      <c r="N271" s="187">
        <v>54</v>
      </c>
      <c r="O271" s="187">
        <v>65</v>
      </c>
      <c r="P271" s="193"/>
      <c r="Q271" s="193"/>
      <c r="R271" s="193"/>
      <c r="S271" s="193"/>
      <c r="T271" s="193"/>
      <c r="U271" s="181">
        <v>1016345</v>
      </c>
      <c r="V271" s="180">
        <v>0</v>
      </c>
      <c r="W271" s="180">
        <v>0</v>
      </c>
      <c r="X271" s="180">
        <v>0</v>
      </c>
      <c r="Y271" s="180">
        <v>1015981</v>
      </c>
    </row>
    <row r="272" spans="1:25" s="4" customFormat="1" ht="240" x14ac:dyDescent="0.3">
      <c r="A272" s="863"/>
      <c r="B272" s="840"/>
      <c r="C272" s="188" t="s">
        <v>1001</v>
      </c>
      <c r="D272" s="187" t="s">
        <v>550</v>
      </c>
      <c r="E272" s="187" t="s">
        <v>273</v>
      </c>
      <c r="F272" s="192" t="s">
        <v>998</v>
      </c>
      <c r="G272" s="187" t="s">
        <v>559</v>
      </c>
      <c r="H272" s="187">
        <v>0</v>
      </c>
      <c r="I272" s="187">
        <v>32</v>
      </c>
      <c r="J272" s="187">
        <v>58</v>
      </c>
      <c r="K272" s="187"/>
      <c r="L272" s="187"/>
      <c r="M272" s="187"/>
      <c r="N272" s="187"/>
      <c r="O272" s="187"/>
      <c r="P272" s="193"/>
      <c r="Q272" s="193"/>
      <c r="R272" s="193"/>
      <c r="S272" s="193"/>
      <c r="T272" s="193"/>
      <c r="U272" s="181">
        <v>257365</v>
      </c>
      <c r="V272" s="180">
        <v>0</v>
      </c>
      <c r="W272" s="180">
        <v>0</v>
      </c>
      <c r="X272" s="180">
        <v>0</v>
      </c>
      <c r="Y272" s="180">
        <v>257365</v>
      </c>
    </row>
    <row r="273" spans="1:25" s="4" customFormat="1" ht="168" x14ac:dyDescent="0.3">
      <c r="A273" s="862" t="s">
        <v>560</v>
      </c>
      <c r="B273" s="804" t="s">
        <v>561</v>
      </c>
      <c r="C273" s="188" t="s">
        <v>562</v>
      </c>
      <c r="D273" s="187" t="s">
        <v>563</v>
      </c>
      <c r="E273" s="187" t="s">
        <v>124</v>
      </c>
      <c r="F273" s="192" t="s">
        <v>547</v>
      </c>
      <c r="G273" s="187" t="s">
        <v>564</v>
      </c>
      <c r="H273" s="187">
        <v>451</v>
      </c>
      <c r="I273" s="187">
        <v>461</v>
      </c>
      <c r="J273" s="187">
        <v>471</v>
      </c>
      <c r="K273" s="187">
        <v>481</v>
      </c>
      <c r="L273" s="187">
        <v>491</v>
      </c>
      <c r="M273" s="187">
        <v>501</v>
      </c>
      <c r="N273" s="187">
        <v>511</v>
      </c>
      <c r="O273" s="187"/>
      <c r="P273" s="193"/>
      <c r="Q273" s="193"/>
      <c r="R273" s="193"/>
      <c r="S273" s="193"/>
      <c r="T273" s="193"/>
      <c r="U273" s="181">
        <v>4022218</v>
      </c>
      <c r="V273" s="180">
        <v>0</v>
      </c>
      <c r="W273" s="180">
        <v>0</v>
      </c>
      <c r="X273" s="180">
        <v>0</v>
      </c>
      <c r="Y273" s="180">
        <v>3656218</v>
      </c>
    </row>
    <row r="274" spans="1:25" s="4" customFormat="1" ht="144" x14ac:dyDescent="0.3">
      <c r="A274" s="863"/>
      <c r="B274" s="805"/>
      <c r="C274" s="188" t="s">
        <v>565</v>
      </c>
      <c r="D274" s="187" t="s">
        <v>563</v>
      </c>
      <c r="E274" s="187">
        <v>2019</v>
      </c>
      <c r="F274" s="192" t="s">
        <v>566</v>
      </c>
      <c r="G274" s="187" t="s">
        <v>559</v>
      </c>
      <c r="H274" s="187">
        <v>0</v>
      </c>
      <c r="I274" s="187">
        <v>7</v>
      </c>
      <c r="J274" s="187"/>
      <c r="K274" s="187"/>
      <c r="L274" s="187"/>
      <c r="M274" s="187"/>
      <c r="N274" s="187"/>
      <c r="O274" s="187"/>
      <c r="P274" s="193"/>
      <c r="Q274" s="193"/>
      <c r="R274" s="193"/>
      <c r="S274" s="193"/>
      <c r="T274" s="193"/>
      <c r="U274" s="181">
        <v>14000</v>
      </c>
      <c r="V274" s="180">
        <v>0</v>
      </c>
      <c r="W274" s="180">
        <v>0</v>
      </c>
      <c r="X274" s="180">
        <v>0</v>
      </c>
      <c r="Y274" s="180">
        <v>14000</v>
      </c>
    </row>
    <row r="275" spans="1:25" s="4" customFormat="1" ht="48" x14ac:dyDescent="0.3">
      <c r="A275" s="862" t="s">
        <v>567</v>
      </c>
      <c r="B275" s="804" t="s">
        <v>568</v>
      </c>
      <c r="C275" s="189" t="s">
        <v>569</v>
      </c>
      <c r="D275" s="187" t="s">
        <v>570</v>
      </c>
      <c r="E275" s="187" t="s">
        <v>322</v>
      </c>
      <c r="F275" s="192" t="s">
        <v>510</v>
      </c>
      <c r="G275" s="187" t="s">
        <v>62</v>
      </c>
      <c r="H275" s="187">
        <v>77.8</v>
      </c>
      <c r="I275" s="187">
        <v>86</v>
      </c>
      <c r="J275" s="187">
        <v>81.8</v>
      </c>
      <c r="K275" s="187">
        <v>81.8</v>
      </c>
      <c r="L275" s="187">
        <v>77.8</v>
      </c>
      <c r="M275" s="187">
        <v>70.2</v>
      </c>
      <c r="N275" s="187">
        <v>63.3</v>
      </c>
      <c r="O275" s="187">
        <v>56.9</v>
      </c>
      <c r="P275" s="193"/>
      <c r="Q275" s="193"/>
      <c r="R275" s="193"/>
      <c r="S275" s="193"/>
      <c r="T275" s="193"/>
      <c r="U275" s="181">
        <v>853620</v>
      </c>
      <c r="V275" s="180">
        <v>0</v>
      </c>
      <c r="W275" s="180">
        <v>0</v>
      </c>
      <c r="X275" s="180">
        <v>0</v>
      </c>
      <c r="Y275" s="180">
        <v>0</v>
      </c>
    </row>
    <row r="276" spans="1:25" s="4" customFormat="1" ht="96" x14ac:dyDescent="0.3">
      <c r="A276" s="863"/>
      <c r="B276" s="805"/>
      <c r="C276" s="189" t="s">
        <v>571</v>
      </c>
      <c r="D276" s="187" t="s">
        <v>572</v>
      </c>
      <c r="E276" s="187">
        <v>2024</v>
      </c>
      <c r="F276" s="192" t="s">
        <v>573</v>
      </c>
      <c r="G276" s="187" t="s">
        <v>62</v>
      </c>
      <c r="H276" s="187"/>
      <c r="I276" s="187"/>
      <c r="J276" s="187"/>
      <c r="K276" s="187"/>
      <c r="L276" s="65">
        <v>1</v>
      </c>
      <c r="M276" s="65">
        <v>7</v>
      </c>
      <c r="N276" s="65">
        <v>92</v>
      </c>
      <c r="O276" s="187"/>
      <c r="P276" s="193"/>
      <c r="Q276" s="193"/>
      <c r="R276" s="193"/>
      <c r="S276" s="193"/>
      <c r="T276" s="193"/>
      <c r="U276" s="181">
        <v>567000</v>
      </c>
      <c r="V276" s="180">
        <v>0</v>
      </c>
      <c r="W276" s="180">
        <v>0</v>
      </c>
      <c r="X276" s="180">
        <v>0</v>
      </c>
      <c r="Y276" s="180">
        <v>0</v>
      </c>
    </row>
    <row r="277" spans="1:25" ht="24" x14ac:dyDescent="0.3">
      <c r="A277" s="66" t="s">
        <v>574</v>
      </c>
      <c r="B277" s="945" t="s">
        <v>575</v>
      </c>
      <c r="C277" s="945"/>
      <c r="D277" s="945"/>
      <c r="E277" s="945"/>
      <c r="F277" s="945"/>
      <c r="G277" s="945"/>
      <c r="H277" s="945"/>
      <c r="I277" s="945"/>
      <c r="J277" s="945"/>
      <c r="K277" s="945"/>
      <c r="L277" s="945"/>
      <c r="M277" s="945"/>
      <c r="N277" s="945"/>
      <c r="O277" s="945"/>
      <c r="P277" s="945"/>
      <c r="Q277" s="945"/>
      <c r="R277" s="945"/>
      <c r="S277" s="945"/>
      <c r="T277" s="945"/>
      <c r="U277" s="51"/>
      <c r="V277" s="52"/>
      <c r="W277" s="52"/>
      <c r="X277" s="52"/>
      <c r="Y277" s="52"/>
    </row>
    <row r="278" spans="1:25" s="4" customFormat="1" ht="320.25" customHeight="1" x14ac:dyDescent="0.3">
      <c r="A278" s="758" t="s">
        <v>576</v>
      </c>
      <c r="B278" s="843" t="s">
        <v>577</v>
      </c>
      <c r="C278" s="843" t="s">
        <v>578</v>
      </c>
      <c r="D278" s="759" t="s">
        <v>1133</v>
      </c>
      <c r="E278" s="720">
        <v>2019</v>
      </c>
      <c r="F278" s="841" t="s">
        <v>579</v>
      </c>
      <c r="G278" s="720" t="s">
        <v>117</v>
      </c>
      <c r="H278" s="720"/>
      <c r="I278" s="720" t="s">
        <v>118</v>
      </c>
      <c r="J278" s="720"/>
      <c r="K278" s="720"/>
      <c r="L278" s="720"/>
      <c r="M278" s="720"/>
      <c r="N278" s="720"/>
      <c r="O278" s="720"/>
      <c r="P278" s="720"/>
      <c r="Q278" s="720"/>
      <c r="R278" s="720"/>
      <c r="S278" s="720"/>
      <c r="T278" s="720"/>
      <c r="U278" s="773">
        <v>5000</v>
      </c>
      <c r="V278" s="791">
        <v>0</v>
      </c>
      <c r="W278" s="791">
        <v>0</v>
      </c>
      <c r="X278" s="791">
        <v>0</v>
      </c>
      <c r="Y278" s="791">
        <v>5000</v>
      </c>
    </row>
    <row r="279" spans="1:25" s="4" customFormat="1" ht="307.5" customHeight="1" x14ac:dyDescent="0.3">
      <c r="A279" s="758"/>
      <c r="B279" s="843"/>
      <c r="C279" s="843"/>
      <c r="D279" s="759"/>
      <c r="E279" s="720"/>
      <c r="F279" s="841"/>
      <c r="G279" s="720"/>
      <c r="H279" s="720"/>
      <c r="I279" s="720"/>
      <c r="J279" s="720"/>
      <c r="K279" s="720"/>
      <c r="L279" s="720"/>
      <c r="M279" s="720"/>
      <c r="N279" s="720"/>
      <c r="O279" s="720"/>
      <c r="P279" s="720"/>
      <c r="Q279" s="720"/>
      <c r="R279" s="720"/>
      <c r="S279" s="720"/>
      <c r="T279" s="720"/>
      <c r="U279" s="774"/>
      <c r="V279" s="792"/>
      <c r="W279" s="792"/>
      <c r="X279" s="792"/>
      <c r="Y279" s="792"/>
    </row>
    <row r="280" spans="1:25" s="4" customFormat="1" ht="192" x14ac:dyDescent="0.3">
      <c r="A280" s="195" t="s">
        <v>583</v>
      </c>
      <c r="B280" s="182" t="s">
        <v>580</v>
      </c>
      <c r="C280" s="182" t="s">
        <v>581</v>
      </c>
      <c r="D280" s="193" t="s">
        <v>1133</v>
      </c>
      <c r="E280" s="50">
        <v>2019</v>
      </c>
      <c r="F280" s="74" t="s">
        <v>582</v>
      </c>
      <c r="G280" s="50" t="s">
        <v>62</v>
      </c>
      <c r="H280" s="50"/>
      <c r="I280" s="43">
        <v>100</v>
      </c>
      <c r="J280" s="43"/>
      <c r="K280" s="43"/>
      <c r="L280" s="43"/>
      <c r="M280" s="43"/>
      <c r="N280" s="43"/>
      <c r="O280" s="43"/>
      <c r="P280" s="43"/>
      <c r="Q280" s="43"/>
      <c r="R280" s="43"/>
      <c r="S280" s="43"/>
      <c r="T280" s="43"/>
      <c r="U280" s="181">
        <v>13000</v>
      </c>
      <c r="V280" s="180">
        <v>0</v>
      </c>
      <c r="W280" s="180">
        <v>0</v>
      </c>
      <c r="X280" s="180">
        <v>0</v>
      </c>
      <c r="Y280" s="180">
        <v>13000</v>
      </c>
    </row>
    <row r="281" spans="1:25" s="4" customFormat="1" ht="99" customHeight="1" x14ac:dyDescent="0.3">
      <c r="A281" s="844" t="s">
        <v>585</v>
      </c>
      <c r="B281" s="839" t="s">
        <v>584</v>
      </c>
      <c r="C281" s="839" t="s">
        <v>1349</v>
      </c>
      <c r="D281" s="714" t="s">
        <v>1133</v>
      </c>
      <c r="E281" s="716" t="s">
        <v>52</v>
      </c>
      <c r="F281" s="192" t="s">
        <v>153</v>
      </c>
      <c r="G281" s="50" t="s">
        <v>74</v>
      </c>
      <c r="H281" s="50"/>
      <c r="I281" s="43">
        <v>1000</v>
      </c>
      <c r="J281" s="43">
        <v>1000</v>
      </c>
      <c r="K281" s="43">
        <v>1100</v>
      </c>
      <c r="L281" s="43">
        <v>1200</v>
      </c>
      <c r="M281" s="43">
        <v>1300</v>
      </c>
      <c r="N281" s="43">
        <v>1400</v>
      </c>
      <c r="O281" s="43">
        <v>1500</v>
      </c>
      <c r="P281" s="43">
        <v>1600</v>
      </c>
      <c r="Q281" s="43">
        <v>1700</v>
      </c>
      <c r="R281" s="43">
        <v>1800</v>
      </c>
      <c r="S281" s="43">
        <v>1900</v>
      </c>
      <c r="T281" s="43">
        <v>2000</v>
      </c>
      <c r="U281" s="773">
        <v>10000</v>
      </c>
      <c r="V281" s="791">
        <v>0</v>
      </c>
      <c r="W281" s="791">
        <v>0</v>
      </c>
      <c r="X281" s="791">
        <v>0</v>
      </c>
      <c r="Y281" s="791">
        <v>10000</v>
      </c>
    </row>
    <row r="282" spans="1:25" s="4" customFormat="1" ht="75.75" customHeight="1" x14ac:dyDescent="0.3">
      <c r="A282" s="845"/>
      <c r="B282" s="840"/>
      <c r="C282" s="840"/>
      <c r="D282" s="715"/>
      <c r="E282" s="717"/>
      <c r="F282" s="192" t="s">
        <v>940</v>
      </c>
      <c r="G282" s="50" t="s">
        <v>31</v>
      </c>
      <c r="H282" s="50"/>
      <c r="I282" s="43">
        <v>4</v>
      </c>
      <c r="J282" s="43">
        <v>8</v>
      </c>
      <c r="K282" s="43">
        <v>12</v>
      </c>
      <c r="L282" s="43">
        <v>16</v>
      </c>
      <c r="M282" s="43">
        <v>20</v>
      </c>
      <c r="N282" s="43">
        <v>24</v>
      </c>
      <c r="O282" s="43">
        <v>28</v>
      </c>
      <c r="P282" s="43">
        <v>32</v>
      </c>
      <c r="Q282" s="43">
        <v>36</v>
      </c>
      <c r="R282" s="43">
        <v>40</v>
      </c>
      <c r="S282" s="43">
        <v>44</v>
      </c>
      <c r="T282" s="43">
        <v>48</v>
      </c>
      <c r="U282" s="774"/>
      <c r="V282" s="792"/>
      <c r="W282" s="792"/>
      <c r="X282" s="792"/>
      <c r="Y282" s="792"/>
    </row>
    <row r="283" spans="1:25" s="4" customFormat="1" ht="96" x14ac:dyDescent="0.3">
      <c r="A283" s="195" t="s">
        <v>587</v>
      </c>
      <c r="B283" s="182" t="s">
        <v>586</v>
      </c>
      <c r="C283" s="182" t="s">
        <v>1350</v>
      </c>
      <c r="D283" s="148" t="s">
        <v>1133</v>
      </c>
      <c r="E283" s="50" t="s">
        <v>52</v>
      </c>
      <c r="F283" s="192" t="s">
        <v>153</v>
      </c>
      <c r="G283" s="50" t="s">
        <v>74</v>
      </c>
      <c r="H283" s="50"/>
      <c r="I283" s="43">
        <v>400</v>
      </c>
      <c r="J283" s="43">
        <v>400</v>
      </c>
      <c r="K283" s="43">
        <v>400</v>
      </c>
      <c r="L283" s="43">
        <v>400</v>
      </c>
      <c r="M283" s="43">
        <v>400</v>
      </c>
      <c r="N283" s="43">
        <v>400</v>
      </c>
      <c r="O283" s="43">
        <v>400</v>
      </c>
      <c r="P283" s="43">
        <v>400</v>
      </c>
      <c r="Q283" s="43">
        <v>400</v>
      </c>
      <c r="R283" s="43">
        <v>400</v>
      </c>
      <c r="S283" s="43">
        <v>400</v>
      </c>
      <c r="T283" s="43">
        <v>400</v>
      </c>
      <c r="U283" s="181">
        <v>100</v>
      </c>
      <c r="V283" s="180">
        <v>0</v>
      </c>
      <c r="W283" s="180">
        <v>0</v>
      </c>
      <c r="X283" s="180">
        <v>0</v>
      </c>
      <c r="Y283" s="180">
        <v>100</v>
      </c>
    </row>
    <row r="284" spans="1:25" s="4" customFormat="1" ht="144" x14ac:dyDescent="0.3">
      <c r="A284" s="195" t="s">
        <v>591</v>
      </c>
      <c r="B284" s="182" t="s">
        <v>588</v>
      </c>
      <c r="C284" s="182" t="s">
        <v>589</v>
      </c>
      <c r="D284" s="148" t="s">
        <v>1133</v>
      </c>
      <c r="E284" s="50">
        <v>2019</v>
      </c>
      <c r="F284" s="74" t="s">
        <v>590</v>
      </c>
      <c r="G284" s="50" t="s">
        <v>117</v>
      </c>
      <c r="H284" s="50"/>
      <c r="I284" s="43" t="s">
        <v>118</v>
      </c>
      <c r="J284" s="43"/>
      <c r="K284" s="43"/>
      <c r="L284" s="43"/>
      <c r="M284" s="43"/>
      <c r="N284" s="43"/>
      <c r="O284" s="43"/>
      <c r="P284" s="43"/>
      <c r="Q284" s="43"/>
      <c r="R284" s="43"/>
      <c r="S284" s="43"/>
      <c r="T284" s="43"/>
      <c r="U284" s="181">
        <v>15000</v>
      </c>
      <c r="V284" s="180">
        <v>0</v>
      </c>
      <c r="W284" s="180">
        <v>0</v>
      </c>
      <c r="X284" s="180">
        <v>0</v>
      </c>
      <c r="Y284" s="180">
        <v>15000</v>
      </c>
    </row>
    <row r="285" spans="1:25" s="4" customFormat="1" ht="48" x14ac:dyDescent="0.3">
      <c r="A285" s="758" t="s">
        <v>597</v>
      </c>
      <c r="B285" s="843" t="s">
        <v>592</v>
      </c>
      <c r="C285" s="839" t="s">
        <v>593</v>
      </c>
      <c r="D285" s="148" t="s">
        <v>1133</v>
      </c>
      <c r="E285" s="889" t="s">
        <v>594</v>
      </c>
      <c r="F285" s="192" t="s">
        <v>153</v>
      </c>
      <c r="G285" s="50" t="s">
        <v>74</v>
      </c>
      <c r="H285" s="50"/>
      <c r="I285" s="43"/>
      <c r="J285" s="43"/>
      <c r="K285" s="43"/>
      <c r="L285" s="43"/>
      <c r="M285" s="43"/>
      <c r="N285" s="43"/>
      <c r="O285" s="43"/>
      <c r="P285" s="43"/>
      <c r="Q285" s="43"/>
      <c r="R285" s="43"/>
      <c r="S285" s="43"/>
      <c r="T285" s="43"/>
      <c r="U285" s="181">
        <v>0</v>
      </c>
      <c r="V285" s="180">
        <v>0</v>
      </c>
      <c r="W285" s="180">
        <v>0</v>
      </c>
      <c r="X285" s="180">
        <v>0</v>
      </c>
      <c r="Y285" s="180">
        <v>0</v>
      </c>
    </row>
    <row r="286" spans="1:25" s="4" customFormat="1" ht="121.5" customHeight="1" x14ac:dyDescent="0.3">
      <c r="A286" s="758"/>
      <c r="B286" s="843"/>
      <c r="C286" s="856"/>
      <c r="D286" s="42" t="s">
        <v>28</v>
      </c>
      <c r="E286" s="890"/>
      <c r="F286" s="74" t="s">
        <v>595</v>
      </c>
      <c r="G286" s="50" t="s">
        <v>117</v>
      </c>
      <c r="H286" s="50"/>
      <c r="I286" s="43" t="s">
        <v>118</v>
      </c>
      <c r="J286" s="43"/>
      <c r="K286" s="43"/>
      <c r="L286" s="43"/>
      <c r="M286" s="43"/>
      <c r="N286" s="50"/>
      <c r="O286" s="50"/>
      <c r="P286" s="50"/>
      <c r="Q286" s="50"/>
      <c r="R286" s="50"/>
      <c r="S286" s="50"/>
      <c r="T286" s="50"/>
      <c r="U286" s="181">
        <v>400</v>
      </c>
      <c r="V286" s="180">
        <v>0</v>
      </c>
      <c r="W286" s="180">
        <v>0</v>
      </c>
      <c r="X286" s="180">
        <v>0</v>
      </c>
      <c r="Y286" s="180">
        <v>400</v>
      </c>
    </row>
    <row r="287" spans="1:25" s="4" customFormat="1" ht="83.25" customHeight="1" x14ac:dyDescent="0.3">
      <c r="A287" s="758"/>
      <c r="B287" s="843"/>
      <c r="C287" s="840"/>
      <c r="D287" s="42" t="s">
        <v>28</v>
      </c>
      <c r="E287" s="891"/>
      <c r="F287" s="61" t="s">
        <v>596</v>
      </c>
      <c r="G287" s="50" t="s">
        <v>117</v>
      </c>
      <c r="H287" s="50"/>
      <c r="I287" s="43"/>
      <c r="J287" s="43"/>
      <c r="K287" s="43"/>
      <c r="L287" s="43"/>
      <c r="M287" s="43" t="s">
        <v>118</v>
      </c>
      <c r="N287" s="50"/>
      <c r="O287" s="50"/>
      <c r="P287" s="50"/>
      <c r="Q287" s="50"/>
      <c r="R287" s="50"/>
      <c r="S287" s="50"/>
      <c r="T287" s="50"/>
      <c r="U287" s="181">
        <v>0</v>
      </c>
      <c r="V287" s="180">
        <v>0</v>
      </c>
      <c r="W287" s="180">
        <v>0</v>
      </c>
      <c r="X287" s="180">
        <v>0</v>
      </c>
      <c r="Y287" s="180">
        <v>0</v>
      </c>
    </row>
    <row r="288" spans="1:25" s="4" customFormat="1" ht="123" x14ac:dyDescent="0.3">
      <c r="A288" s="193" t="s">
        <v>598</v>
      </c>
      <c r="B288" s="182" t="s">
        <v>1195</v>
      </c>
      <c r="C288" s="182" t="s">
        <v>1201</v>
      </c>
      <c r="D288" s="193" t="s">
        <v>1129</v>
      </c>
      <c r="E288" s="50" t="s">
        <v>36</v>
      </c>
      <c r="F288" s="74" t="s">
        <v>1115</v>
      </c>
      <c r="G288" s="50" t="s">
        <v>117</v>
      </c>
      <c r="H288" s="50"/>
      <c r="I288" s="50"/>
      <c r="J288" s="50"/>
      <c r="K288" s="50"/>
      <c r="L288" s="50"/>
      <c r="M288" s="50"/>
      <c r="N288" s="50"/>
      <c r="O288" s="50" t="s">
        <v>118</v>
      </c>
      <c r="P288" s="50"/>
      <c r="Q288" s="50"/>
      <c r="R288" s="50"/>
      <c r="S288" s="50"/>
      <c r="T288" s="50"/>
      <c r="U288" s="181">
        <v>393062.40000000002</v>
      </c>
      <c r="V288" s="180">
        <v>143062.39999999999</v>
      </c>
      <c r="W288" s="180">
        <v>0</v>
      </c>
      <c r="X288" s="180">
        <v>0</v>
      </c>
      <c r="Y288" s="180">
        <v>50000</v>
      </c>
    </row>
    <row r="289" spans="1:25" s="4" customFormat="1" ht="72" x14ac:dyDescent="0.3">
      <c r="A289" s="193" t="s">
        <v>600</v>
      </c>
      <c r="B289" s="182" t="s">
        <v>599</v>
      </c>
      <c r="C289" s="188" t="s">
        <v>1139</v>
      </c>
      <c r="D289" s="187" t="s">
        <v>1133</v>
      </c>
      <c r="E289" s="43" t="s">
        <v>152</v>
      </c>
      <c r="F289" s="74" t="s">
        <v>1217</v>
      </c>
      <c r="G289" s="50" t="s">
        <v>74</v>
      </c>
      <c r="H289" s="50"/>
      <c r="I289" s="50"/>
      <c r="J289" s="126"/>
      <c r="K289" s="100"/>
      <c r="L289" s="100">
        <v>6000</v>
      </c>
      <c r="M289" s="100">
        <v>10000</v>
      </c>
      <c r="N289" s="100">
        <v>10000</v>
      </c>
      <c r="O289" s="100">
        <v>10000</v>
      </c>
      <c r="P289" s="100">
        <v>10000</v>
      </c>
      <c r="Q289" s="100">
        <v>10000</v>
      </c>
      <c r="R289" s="100">
        <v>10000</v>
      </c>
      <c r="S289" s="100">
        <v>10000</v>
      </c>
      <c r="T289" s="100">
        <v>10000</v>
      </c>
      <c r="U289" s="181">
        <v>22000</v>
      </c>
      <c r="V289" s="180">
        <v>0</v>
      </c>
      <c r="W289" s="180">
        <v>0</v>
      </c>
      <c r="X289" s="180">
        <v>0</v>
      </c>
      <c r="Y289" s="180">
        <v>22000</v>
      </c>
    </row>
    <row r="290" spans="1:25" s="4" customFormat="1" ht="168" x14ac:dyDescent="0.3">
      <c r="A290" s="193" t="s">
        <v>830</v>
      </c>
      <c r="B290" s="182" t="s">
        <v>601</v>
      </c>
      <c r="C290" s="182" t="s">
        <v>1351</v>
      </c>
      <c r="D290" s="193" t="s">
        <v>602</v>
      </c>
      <c r="E290" s="50" t="s">
        <v>152</v>
      </c>
      <c r="F290" s="74" t="s">
        <v>603</v>
      </c>
      <c r="G290" s="50" t="s">
        <v>117</v>
      </c>
      <c r="H290" s="50"/>
      <c r="I290" s="50" t="s">
        <v>118</v>
      </c>
      <c r="J290" s="50" t="s">
        <v>118</v>
      </c>
      <c r="K290" s="50" t="s">
        <v>118</v>
      </c>
      <c r="L290" s="50"/>
      <c r="M290" s="50"/>
      <c r="N290" s="50"/>
      <c r="O290" s="50"/>
      <c r="P290" s="50"/>
      <c r="Q290" s="50"/>
      <c r="R290" s="50"/>
      <c r="S290" s="50"/>
      <c r="T290" s="50"/>
      <c r="U290" s="181">
        <v>450</v>
      </c>
      <c r="V290" s="180">
        <v>450</v>
      </c>
      <c r="W290" s="180">
        <v>0</v>
      </c>
      <c r="X290" s="180">
        <v>0</v>
      </c>
      <c r="Y290" s="180">
        <v>0</v>
      </c>
    </row>
    <row r="291" spans="1:25" s="4" customFormat="1" ht="144" x14ac:dyDescent="0.3">
      <c r="A291" s="193" t="s">
        <v>928</v>
      </c>
      <c r="B291" s="182" t="s">
        <v>929</v>
      </c>
      <c r="C291" s="182" t="s">
        <v>1352</v>
      </c>
      <c r="D291" s="193" t="s">
        <v>482</v>
      </c>
      <c r="E291" s="50" t="s">
        <v>330</v>
      </c>
      <c r="F291" s="74" t="s">
        <v>1150</v>
      </c>
      <c r="G291" s="50"/>
      <c r="H291" s="50"/>
      <c r="I291" s="50"/>
      <c r="J291" s="50">
        <v>1</v>
      </c>
      <c r="K291" s="50">
        <v>1</v>
      </c>
      <c r="L291" s="50"/>
      <c r="M291" s="50"/>
      <c r="N291" s="50"/>
      <c r="O291" s="50"/>
      <c r="P291" s="50"/>
      <c r="Q291" s="50"/>
      <c r="R291" s="50"/>
      <c r="S291" s="50"/>
      <c r="T291" s="50"/>
      <c r="U291" s="181">
        <v>6000</v>
      </c>
      <c r="V291" s="180">
        <v>6000</v>
      </c>
      <c r="W291" s="180">
        <v>0</v>
      </c>
      <c r="X291" s="180">
        <v>0</v>
      </c>
      <c r="Y291" s="180">
        <v>0</v>
      </c>
    </row>
    <row r="292" spans="1:25" s="4" customFormat="1" ht="126.75" customHeight="1" x14ac:dyDescent="0.3">
      <c r="A292" s="714" t="s">
        <v>937</v>
      </c>
      <c r="B292" s="839" t="s">
        <v>935</v>
      </c>
      <c r="C292" s="839" t="s">
        <v>1353</v>
      </c>
      <c r="D292" s="714" t="s">
        <v>1151</v>
      </c>
      <c r="E292" s="716" t="s">
        <v>936</v>
      </c>
      <c r="F292" s="74" t="s">
        <v>938</v>
      </c>
      <c r="G292" s="50" t="s">
        <v>62</v>
      </c>
      <c r="H292" s="50" t="s">
        <v>140</v>
      </c>
      <c r="I292" s="83">
        <f>67/123*100</f>
        <v>54.471544715447152</v>
      </c>
      <c r="J292" s="83"/>
      <c r="K292" s="83"/>
      <c r="L292" s="50"/>
      <c r="M292" s="50"/>
      <c r="N292" s="50"/>
      <c r="O292" s="50"/>
      <c r="P292" s="50"/>
      <c r="Q292" s="50"/>
      <c r="R292" s="50"/>
      <c r="S292" s="50"/>
      <c r="T292" s="50"/>
      <c r="U292" s="773">
        <v>63340.2</v>
      </c>
      <c r="V292" s="791">
        <v>3116.7999999999997</v>
      </c>
      <c r="W292" s="791">
        <v>20497.3</v>
      </c>
      <c r="X292" s="791">
        <v>37852.9</v>
      </c>
      <c r="Y292" s="791">
        <v>1873.2</v>
      </c>
    </row>
    <row r="293" spans="1:25" s="4" customFormat="1" ht="144" x14ac:dyDescent="0.3">
      <c r="A293" s="715"/>
      <c r="B293" s="840"/>
      <c r="C293" s="840"/>
      <c r="D293" s="715"/>
      <c r="E293" s="717"/>
      <c r="F293" s="74" t="s">
        <v>939</v>
      </c>
      <c r="G293" s="50" t="s">
        <v>62</v>
      </c>
      <c r="H293" s="50" t="s">
        <v>140</v>
      </c>
      <c r="I293" s="83">
        <v>34.5</v>
      </c>
      <c r="J293" s="83"/>
      <c r="K293" s="83"/>
      <c r="L293" s="50"/>
      <c r="M293" s="50"/>
      <c r="N293" s="50"/>
      <c r="O293" s="50"/>
      <c r="P293" s="50"/>
      <c r="Q293" s="50"/>
      <c r="R293" s="50"/>
      <c r="S293" s="50"/>
      <c r="T293" s="50"/>
      <c r="U293" s="774"/>
      <c r="V293" s="792"/>
      <c r="W293" s="792"/>
      <c r="X293" s="792"/>
      <c r="Y293" s="792"/>
    </row>
    <row r="294" spans="1:25" s="4" customFormat="1" ht="72" x14ac:dyDescent="0.3">
      <c r="A294" s="193" t="s">
        <v>942</v>
      </c>
      <c r="B294" s="182" t="s">
        <v>944</v>
      </c>
      <c r="C294" s="182" t="s">
        <v>1354</v>
      </c>
      <c r="D294" s="193" t="s">
        <v>969</v>
      </c>
      <c r="E294" s="50" t="s">
        <v>273</v>
      </c>
      <c r="F294" s="74" t="s">
        <v>1040</v>
      </c>
      <c r="G294" s="50" t="s">
        <v>31</v>
      </c>
      <c r="H294" s="50"/>
      <c r="I294" s="84"/>
      <c r="J294" s="84">
        <v>1</v>
      </c>
      <c r="K294" s="83"/>
      <c r="L294" s="50"/>
      <c r="M294" s="50"/>
      <c r="N294" s="50"/>
      <c r="O294" s="50"/>
      <c r="P294" s="50"/>
      <c r="Q294" s="50"/>
      <c r="R294" s="50"/>
      <c r="S294" s="50"/>
      <c r="T294" s="50"/>
      <c r="U294" s="181">
        <v>5000</v>
      </c>
      <c r="V294" s="180">
        <v>5000</v>
      </c>
      <c r="W294" s="180">
        <v>0</v>
      </c>
      <c r="X294" s="180">
        <v>0</v>
      </c>
      <c r="Y294" s="180">
        <v>0</v>
      </c>
    </row>
    <row r="295" spans="1:25" s="4" customFormat="1" ht="96" x14ac:dyDescent="0.3">
      <c r="A295" s="193" t="s">
        <v>943</v>
      </c>
      <c r="B295" s="182" t="s">
        <v>945</v>
      </c>
      <c r="C295" s="182" t="s">
        <v>1355</v>
      </c>
      <c r="D295" s="193" t="s">
        <v>970</v>
      </c>
      <c r="E295" s="50">
        <v>2019</v>
      </c>
      <c r="F295" s="74" t="s">
        <v>946</v>
      </c>
      <c r="G295" s="50" t="s">
        <v>31</v>
      </c>
      <c r="H295" s="50"/>
      <c r="I295" s="84">
        <v>1</v>
      </c>
      <c r="J295" s="84"/>
      <c r="K295" s="83"/>
      <c r="L295" s="50"/>
      <c r="M295" s="50"/>
      <c r="N295" s="50"/>
      <c r="O295" s="50"/>
      <c r="P295" s="50"/>
      <c r="Q295" s="50"/>
      <c r="R295" s="50"/>
      <c r="S295" s="50"/>
      <c r="T295" s="50"/>
      <c r="U295" s="181">
        <v>12627</v>
      </c>
      <c r="V295" s="180">
        <v>12627</v>
      </c>
      <c r="W295" s="180">
        <v>0</v>
      </c>
      <c r="X295" s="180">
        <v>0</v>
      </c>
      <c r="Y295" s="180">
        <v>0</v>
      </c>
    </row>
    <row r="296" spans="1:25" s="10" customFormat="1" ht="24" x14ac:dyDescent="0.3">
      <c r="A296" s="85" t="s">
        <v>604</v>
      </c>
      <c r="B296" s="942" t="s">
        <v>605</v>
      </c>
      <c r="C296" s="943"/>
      <c r="D296" s="943"/>
      <c r="E296" s="944"/>
      <c r="F296" s="86"/>
      <c r="G296" s="87"/>
      <c r="H296" s="87"/>
      <c r="I296" s="88"/>
      <c r="J296" s="88"/>
      <c r="K296" s="88"/>
      <c r="L296" s="88"/>
      <c r="M296" s="88"/>
      <c r="N296" s="88"/>
      <c r="O296" s="88"/>
      <c r="P296" s="88"/>
      <c r="Q296" s="88"/>
      <c r="R296" s="88"/>
      <c r="S296" s="88"/>
      <c r="T296" s="88"/>
      <c r="U296" s="56"/>
      <c r="V296" s="57"/>
      <c r="W296" s="57"/>
      <c r="X296" s="57"/>
      <c r="Y296" s="57"/>
    </row>
    <row r="297" spans="1:25" s="8" customFormat="1" ht="24" x14ac:dyDescent="0.3">
      <c r="A297" s="90" t="s">
        <v>606</v>
      </c>
      <c r="B297" s="931" t="s">
        <v>607</v>
      </c>
      <c r="C297" s="931"/>
      <c r="D297" s="931"/>
      <c r="E297" s="931"/>
      <c r="F297" s="931"/>
      <c r="G297" s="931"/>
      <c r="H297" s="931"/>
      <c r="I297" s="931"/>
      <c r="J297" s="931"/>
      <c r="K297" s="931"/>
      <c r="L297" s="931"/>
      <c r="M297" s="931"/>
      <c r="N297" s="931"/>
      <c r="O297" s="931"/>
      <c r="P297" s="931"/>
      <c r="Q297" s="931"/>
      <c r="R297" s="931"/>
      <c r="S297" s="931"/>
      <c r="T297" s="931"/>
      <c r="U297" s="51"/>
      <c r="V297" s="52"/>
      <c r="W297" s="52"/>
      <c r="X297" s="52"/>
      <c r="Y297" s="52"/>
    </row>
    <row r="298" spans="1:25" s="4" customFormat="1" ht="144" x14ac:dyDescent="0.3">
      <c r="A298" s="190" t="s">
        <v>608</v>
      </c>
      <c r="B298" s="182" t="s">
        <v>609</v>
      </c>
      <c r="C298" s="182" t="s">
        <v>610</v>
      </c>
      <c r="D298" s="193" t="s">
        <v>468</v>
      </c>
      <c r="E298" s="193" t="s">
        <v>611</v>
      </c>
      <c r="F298" s="716" t="s">
        <v>954</v>
      </c>
      <c r="G298" s="716" t="s">
        <v>955</v>
      </c>
      <c r="H298" s="716">
        <v>1893.7</v>
      </c>
      <c r="I298" s="752">
        <v>454</v>
      </c>
      <c r="J298" s="752">
        <v>454</v>
      </c>
      <c r="K298" s="752">
        <v>454</v>
      </c>
      <c r="L298" s="752">
        <v>454</v>
      </c>
      <c r="M298" s="752">
        <v>353.5</v>
      </c>
      <c r="N298" s="752">
        <v>353.5</v>
      </c>
      <c r="O298" s="752">
        <v>353.5</v>
      </c>
      <c r="P298" s="752">
        <v>353.5</v>
      </c>
      <c r="Q298" s="752">
        <v>353.5</v>
      </c>
      <c r="R298" s="752">
        <v>353.5</v>
      </c>
      <c r="S298" s="752">
        <v>353.5</v>
      </c>
      <c r="T298" s="752">
        <v>353.5</v>
      </c>
      <c r="U298" s="181">
        <v>0</v>
      </c>
      <c r="V298" s="180">
        <v>0</v>
      </c>
      <c r="W298" s="180">
        <v>0</v>
      </c>
      <c r="X298" s="180">
        <v>0</v>
      </c>
      <c r="Y298" s="180">
        <v>0</v>
      </c>
    </row>
    <row r="299" spans="1:25" s="4" customFormat="1" ht="240" x14ac:dyDescent="0.3">
      <c r="A299" s="190" t="s">
        <v>612</v>
      </c>
      <c r="B299" s="182" t="s">
        <v>613</v>
      </c>
      <c r="C299" s="182" t="s">
        <v>1356</v>
      </c>
      <c r="D299" s="193" t="s">
        <v>468</v>
      </c>
      <c r="E299" s="193" t="s">
        <v>614</v>
      </c>
      <c r="F299" s="717"/>
      <c r="G299" s="717"/>
      <c r="H299" s="717"/>
      <c r="I299" s="753"/>
      <c r="J299" s="753"/>
      <c r="K299" s="753"/>
      <c r="L299" s="753"/>
      <c r="M299" s="753"/>
      <c r="N299" s="753"/>
      <c r="O299" s="753"/>
      <c r="P299" s="753"/>
      <c r="Q299" s="753"/>
      <c r="R299" s="753"/>
      <c r="S299" s="753"/>
      <c r="T299" s="753"/>
      <c r="U299" s="181">
        <v>0</v>
      </c>
      <c r="V299" s="180">
        <v>0</v>
      </c>
      <c r="W299" s="180">
        <v>0</v>
      </c>
      <c r="X299" s="180">
        <v>0</v>
      </c>
      <c r="Y299" s="180">
        <v>0</v>
      </c>
    </row>
    <row r="300" spans="1:25" s="4" customFormat="1" ht="240" x14ac:dyDescent="0.3">
      <c r="A300" s="190" t="s">
        <v>615</v>
      </c>
      <c r="B300" s="182" t="s">
        <v>616</v>
      </c>
      <c r="C300" s="188" t="s">
        <v>617</v>
      </c>
      <c r="D300" s="193" t="s">
        <v>468</v>
      </c>
      <c r="E300" s="193" t="s">
        <v>618</v>
      </c>
      <c r="F300" s="74" t="s">
        <v>1170</v>
      </c>
      <c r="G300" s="193" t="s">
        <v>619</v>
      </c>
      <c r="H300" s="193"/>
      <c r="I300" s="193"/>
      <c r="J300" s="76">
        <v>8850</v>
      </c>
      <c r="K300" s="193"/>
      <c r="L300" s="193"/>
      <c r="M300" s="193"/>
      <c r="N300" s="193"/>
      <c r="O300" s="193"/>
      <c r="P300" s="193"/>
      <c r="Q300" s="193"/>
      <c r="R300" s="193"/>
      <c r="S300" s="193"/>
      <c r="T300" s="193"/>
      <c r="U300" s="181">
        <v>0</v>
      </c>
      <c r="V300" s="180">
        <v>0</v>
      </c>
      <c r="W300" s="180">
        <v>0</v>
      </c>
      <c r="X300" s="180">
        <v>0</v>
      </c>
      <c r="Y300" s="180">
        <v>0</v>
      </c>
    </row>
    <row r="301" spans="1:25" s="5" customFormat="1" ht="192" x14ac:dyDescent="0.3">
      <c r="A301" s="190" t="s">
        <v>620</v>
      </c>
      <c r="B301" s="182" t="s">
        <v>621</v>
      </c>
      <c r="C301" s="188" t="s">
        <v>837</v>
      </c>
      <c r="D301" s="193" t="s">
        <v>468</v>
      </c>
      <c r="E301" s="193" t="s">
        <v>622</v>
      </c>
      <c r="F301" s="74" t="s">
        <v>1226</v>
      </c>
      <c r="G301" s="193" t="s">
        <v>117</v>
      </c>
      <c r="H301" s="193"/>
      <c r="I301" s="193" t="s">
        <v>118</v>
      </c>
      <c r="J301" s="193" t="s">
        <v>118</v>
      </c>
      <c r="K301" s="193" t="s">
        <v>118</v>
      </c>
      <c r="L301" s="193" t="s">
        <v>118</v>
      </c>
      <c r="M301" s="193" t="s">
        <v>118</v>
      </c>
      <c r="N301" s="193" t="s">
        <v>118</v>
      </c>
      <c r="O301" s="193" t="s">
        <v>118</v>
      </c>
      <c r="P301" s="193" t="s">
        <v>118</v>
      </c>
      <c r="Q301" s="193" t="s">
        <v>118</v>
      </c>
      <c r="R301" s="193" t="s">
        <v>118</v>
      </c>
      <c r="S301" s="193" t="s">
        <v>118</v>
      </c>
      <c r="T301" s="193" t="s">
        <v>118</v>
      </c>
      <c r="U301" s="181">
        <v>1460677.2000000004</v>
      </c>
      <c r="V301" s="180">
        <v>0</v>
      </c>
      <c r="W301" s="180">
        <v>0</v>
      </c>
      <c r="X301" s="180">
        <v>0</v>
      </c>
      <c r="Y301" s="180">
        <v>851673</v>
      </c>
    </row>
    <row r="302" spans="1:25" ht="24" x14ac:dyDescent="0.3">
      <c r="A302" s="66" t="s">
        <v>623</v>
      </c>
      <c r="B302" s="927" t="s">
        <v>624</v>
      </c>
      <c r="C302" s="927"/>
      <c r="D302" s="927"/>
      <c r="E302" s="927"/>
      <c r="F302" s="927"/>
      <c r="G302" s="927"/>
      <c r="H302" s="927"/>
      <c r="I302" s="927"/>
      <c r="J302" s="927"/>
      <c r="K302" s="927"/>
      <c r="L302" s="927"/>
      <c r="M302" s="927"/>
      <c r="N302" s="927"/>
      <c r="O302" s="927"/>
      <c r="P302" s="927"/>
      <c r="Q302" s="927"/>
      <c r="R302" s="927"/>
      <c r="S302" s="927"/>
      <c r="T302" s="927"/>
      <c r="U302" s="51"/>
      <c r="V302" s="52"/>
      <c r="W302" s="52"/>
      <c r="X302" s="52"/>
      <c r="Y302" s="52"/>
    </row>
    <row r="303" spans="1:25" s="4" customFormat="1" ht="192" x14ac:dyDescent="0.3">
      <c r="A303" s="190" t="s">
        <v>625</v>
      </c>
      <c r="B303" s="182" t="s">
        <v>626</v>
      </c>
      <c r="C303" s="182" t="s">
        <v>627</v>
      </c>
      <c r="D303" s="193" t="s">
        <v>959</v>
      </c>
      <c r="E303" s="193" t="s">
        <v>628</v>
      </c>
      <c r="F303" s="74" t="s">
        <v>1227</v>
      </c>
      <c r="G303" s="193" t="s">
        <v>117</v>
      </c>
      <c r="H303" s="193"/>
      <c r="I303" s="193" t="s">
        <v>118</v>
      </c>
      <c r="J303" s="193" t="s">
        <v>118</v>
      </c>
      <c r="K303" s="193" t="s">
        <v>118</v>
      </c>
      <c r="L303" s="193" t="s">
        <v>118</v>
      </c>
      <c r="M303" s="193" t="s">
        <v>118</v>
      </c>
      <c r="N303" s="193" t="s">
        <v>118</v>
      </c>
      <c r="O303" s="193" t="s">
        <v>118</v>
      </c>
      <c r="P303" s="193" t="s">
        <v>118</v>
      </c>
      <c r="Q303" s="193" t="s">
        <v>118</v>
      </c>
      <c r="R303" s="193" t="s">
        <v>118</v>
      </c>
      <c r="S303" s="193" t="s">
        <v>118</v>
      </c>
      <c r="T303" s="193" t="s">
        <v>118</v>
      </c>
      <c r="U303" s="181">
        <v>70000</v>
      </c>
      <c r="V303" s="180">
        <v>70000</v>
      </c>
      <c r="W303" s="180">
        <v>0</v>
      </c>
      <c r="X303" s="180">
        <v>0</v>
      </c>
      <c r="Y303" s="180">
        <v>0</v>
      </c>
    </row>
    <row r="304" spans="1:25" s="9" customFormat="1" ht="69.75" x14ac:dyDescent="0.3">
      <c r="A304" s="933">
        <v>3</v>
      </c>
      <c r="B304" s="936" t="s">
        <v>629</v>
      </c>
      <c r="C304" s="937"/>
      <c r="D304" s="937"/>
      <c r="E304" s="937"/>
      <c r="F304" s="91" t="s">
        <v>843</v>
      </c>
      <c r="G304" s="92" t="s">
        <v>62</v>
      </c>
      <c r="H304" s="92">
        <v>100</v>
      </c>
      <c r="I304" s="93">
        <v>148.80000000000001</v>
      </c>
      <c r="J304" s="93">
        <v>153.1</v>
      </c>
      <c r="K304" s="93">
        <v>155.30000000000001</v>
      </c>
      <c r="L304" s="93">
        <v>159.1</v>
      </c>
      <c r="M304" s="93">
        <v>163</v>
      </c>
      <c r="N304" s="93">
        <v>166.9</v>
      </c>
      <c r="O304" s="93">
        <v>172.2</v>
      </c>
      <c r="P304" s="93">
        <v>177.6</v>
      </c>
      <c r="Q304" s="93">
        <v>183.2</v>
      </c>
      <c r="R304" s="93">
        <v>189</v>
      </c>
      <c r="S304" s="93">
        <v>195</v>
      </c>
      <c r="T304" s="93">
        <v>201.1</v>
      </c>
      <c r="U304" s="200"/>
      <c r="V304" s="79"/>
      <c r="W304" s="79"/>
      <c r="X304" s="79"/>
      <c r="Y304" s="79"/>
    </row>
    <row r="305" spans="1:25" s="9" customFormat="1" ht="116.25" x14ac:dyDescent="0.3">
      <c r="A305" s="934"/>
      <c r="B305" s="938"/>
      <c r="C305" s="939"/>
      <c r="D305" s="939"/>
      <c r="E305" s="939"/>
      <c r="F305" s="91" t="s">
        <v>844</v>
      </c>
      <c r="G305" s="92" t="s">
        <v>62</v>
      </c>
      <c r="H305" s="92">
        <v>100</v>
      </c>
      <c r="I305" s="93">
        <v>152</v>
      </c>
      <c r="J305" s="93">
        <v>156.30000000000001</v>
      </c>
      <c r="K305" s="93">
        <v>158.1</v>
      </c>
      <c r="L305" s="93">
        <v>161.69999999999999</v>
      </c>
      <c r="M305" s="93">
        <v>165.4</v>
      </c>
      <c r="N305" s="93">
        <v>169.2</v>
      </c>
      <c r="O305" s="93">
        <v>174.6</v>
      </c>
      <c r="P305" s="93">
        <v>180.1</v>
      </c>
      <c r="Q305" s="93">
        <v>185.9</v>
      </c>
      <c r="R305" s="93">
        <v>191.8</v>
      </c>
      <c r="S305" s="93">
        <v>197.9</v>
      </c>
      <c r="T305" s="93">
        <v>204.2</v>
      </c>
      <c r="U305" s="200"/>
      <c r="V305" s="79"/>
      <c r="W305" s="79"/>
      <c r="X305" s="79"/>
      <c r="Y305" s="79"/>
    </row>
    <row r="306" spans="1:25" s="9" customFormat="1" ht="139.5" x14ac:dyDescent="0.3">
      <c r="A306" s="934"/>
      <c r="B306" s="938"/>
      <c r="C306" s="939"/>
      <c r="D306" s="939"/>
      <c r="E306" s="939"/>
      <c r="F306" s="91" t="s">
        <v>845</v>
      </c>
      <c r="G306" s="92" t="s">
        <v>62</v>
      </c>
      <c r="H306" s="92">
        <v>100</v>
      </c>
      <c r="I306" s="93">
        <v>154.5</v>
      </c>
      <c r="J306" s="93">
        <v>160.30000000000001</v>
      </c>
      <c r="K306" s="93">
        <v>163.19999999999999</v>
      </c>
      <c r="L306" s="93">
        <v>166.5</v>
      </c>
      <c r="M306" s="93">
        <v>169.8</v>
      </c>
      <c r="N306" s="93">
        <v>173.3</v>
      </c>
      <c r="O306" s="93">
        <v>178.5</v>
      </c>
      <c r="P306" s="93">
        <v>183.8</v>
      </c>
      <c r="Q306" s="93">
        <v>189.4</v>
      </c>
      <c r="R306" s="93">
        <v>195</v>
      </c>
      <c r="S306" s="93">
        <v>200.9</v>
      </c>
      <c r="T306" s="93">
        <v>206.9</v>
      </c>
      <c r="U306" s="200"/>
      <c r="V306" s="79"/>
      <c r="W306" s="79"/>
      <c r="X306" s="79"/>
      <c r="Y306" s="79"/>
    </row>
    <row r="307" spans="1:25" s="9" customFormat="1" ht="69.75" x14ac:dyDescent="0.3">
      <c r="A307" s="935"/>
      <c r="B307" s="940"/>
      <c r="C307" s="941"/>
      <c r="D307" s="941"/>
      <c r="E307" s="941"/>
      <c r="F307" s="91" t="s">
        <v>846</v>
      </c>
      <c r="G307" s="92" t="s">
        <v>62</v>
      </c>
      <c r="H307" s="92">
        <v>100</v>
      </c>
      <c r="I307" s="93">
        <v>125.4</v>
      </c>
      <c r="J307" s="93">
        <v>140.1</v>
      </c>
      <c r="K307" s="93">
        <v>137.4</v>
      </c>
      <c r="L307" s="93">
        <v>140.80000000000001</v>
      </c>
      <c r="M307" s="93">
        <v>144.30000000000001</v>
      </c>
      <c r="N307" s="93">
        <v>147.9</v>
      </c>
      <c r="O307" s="93">
        <v>151.6</v>
      </c>
      <c r="P307" s="93">
        <v>155.4</v>
      </c>
      <c r="Q307" s="93">
        <v>159.30000000000001</v>
      </c>
      <c r="R307" s="93">
        <v>163.30000000000001</v>
      </c>
      <c r="S307" s="93">
        <v>167.4</v>
      </c>
      <c r="T307" s="93">
        <v>171.6</v>
      </c>
      <c r="U307" s="200"/>
      <c r="V307" s="79"/>
      <c r="W307" s="79"/>
      <c r="X307" s="79"/>
      <c r="Y307" s="79"/>
    </row>
    <row r="308" spans="1:25" s="10" customFormat="1" ht="24" x14ac:dyDescent="0.3">
      <c r="A308" s="85" t="s">
        <v>630</v>
      </c>
      <c r="B308" s="930" t="s">
        <v>631</v>
      </c>
      <c r="C308" s="930"/>
      <c r="D308" s="930"/>
      <c r="E308" s="930"/>
      <c r="F308" s="930"/>
      <c r="G308" s="930"/>
      <c r="H308" s="930"/>
      <c r="I308" s="930"/>
      <c r="J308" s="930"/>
      <c r="K308" s="930"/>
      <c r="L308" s="930"/>
      <c r="M308" s="930"/>
      <c r="N308" s="930"/>
      <c r="O308" s="930"/>
      <c r="P308" s="930"/>
      <c r="Q308" s="930"/>
      <c r="R308" s="930"/>
      <c r="S308" s="930"/>
      <c r="T308" s="930"/>
      <c r="U308" s="56"/>
      <c r="V308" s="57"/>
      <c r="W308" s="57"/>
      <c r="X308" s="57"/>
      <c r="Y308" s="57"/>
    </row>
    <row r="309" spans="1:25" ht="24" x14ac:dyDescent="0.3">
      <c r="A309" s="66" t="s">
        <v>632</v>
      </c>
      <c r="B309" s="927" t="s">
        <v>633</v>
      </c>
      <c r="C309" s="927"/>
      <c r="D309" s="927"/>
      <c r="E309" s="927"/>
      <c r="F309" s="927"/>
      <c r="G309" s="927"/>
      <c r="H309" s="927"/>
      <c r="I309" s="927"/>
      <c r="J309" s="927"/>
      <c r="K309" s="927"/>
      <c r="L309" s="927"/>
      <c r="M309" s="927"/>
      <c r="N309" s="927"/>
      <c r="O309" s="927"/>
      <c r="P309" s="927"/>
      <c r="Q309" s="927"/>
      <c r="R309" s="927"/>
      <c r="S309" s="927"/>
      <c r="T309" s="927"/>
      <c r="U309" s="51"/>
      <c r="V309" s="52"/>
      <c r="W309" s="52"/>
      <c r="X309" s="52"/>
      <c r="Y309" s="52"/>
    </row>
    <row r="310" spans="1:25" s="4" customFormat="1" ht="72" x14ac:dyDescent="0.3">
      <c r="A310" s="190" t="s">
        <v>634</v>
      </c>
      <c r="B310" s="182" t="s">
        <v>635</v>
      </c>
      <c r="C310" s="182" t="s">
        <v>1357</v>
      </c>
      <c r="D310" s="193" t="s">
        <v>468</v>
      </c>
      <c r="E310" s="193" t="s">
        <v>636</v>
      </c>
      <c r="F310" s="74"/>
      <c r="G310" s="193"/>
      <c r="H310" s="193"/>
      <c r="I310" s="193"/>
      <c r="J310" s="193"/>
      <c r="K310" s="193"/>
      <c r="L310" s="193"/>
      <c r="M310" s="193"/>
      <c r="N310" s="193"/>
      <c r="O310" s="193"/>
      <c r="P310" s="193"/>
      <c r="Q310" s="193"/>
      <c r="R310" s="193"/>
      <c r="S310" s="193"/>
      <c r="T310" s="193"/>
      <c r="U310" s="181">
        <v>0</v>
      </c>
      <c r="V310" s="180">
        <v>0</v>
      </c>
      <c r="W310" s="180">
        <v>0</v>
      </c>
      <c r="X310" s="180">
        <v>0</v>
      </c>
      <c r="Y310" s="180">
        <v>0</v>
      </c>
    </row>
    <row r="311" spans="1:25" s="4" customFormat="1" ht="72" x14ac:dyDescent="0.3">
      <c r="A311" s="190" t="s">
        <v>637</v>
      </c>
      <c r="B311" s="182" t="s">
        <v>638</v>
      </c>
      <c r="C311" s="182" t="s">
        <v>639</v>
      </c>
      <c r="D311" s="193" t="s">
        <v>468</v>
      </c>
      <c r="E311" s="193" t="s">
        <v>640</v>
      </c>
      <c r="F311" s="74"/>
      <c r="G311" s="193"/>
      <c r="H311" s="193"/>
      <c r="I311" s="193"/>
      <c r="J311" s="193"/>
      <c r="K311" s="193"/>
      <c r="L311" s="193"/>
      <c r="M311" s="193"/>
      <c r="N311" s="193"/>
      <c r="O311" s="193"/>
      <c r="P311" s="193"/>
      <c r="Q311" s="193"/>
      <c r="R311" s="193"/>
      <c r="S311" s="193"/>
      <c r="T311" s="193"/>
      <c r="U311" s="181">
        <v>0</v>
      </c>
      <c r="V311" s="180">
        <v>0</v>
      </c>
      <c r="W311" s="180">
        <v>0</v>
      </c>
      <c r="X311" s="180">
        <v>0</v>
      </c>
      <c r="Y311" s="180">
        <v>0</v>
      </c>
    </row>
    <row r="312" spans="1:25" s="4" customFormat="1" ht="72" x14ac:dyDescent="0.3">
      <c r="A312" s="190" t="s">
        <v>641</v>
      </c>
      <c r="B312" s="182" t="s">
        <v>642</v>
      </c>
      <c r="C312" s="182" t="s">
        <v>643</v>
      </c>
      <c r="D312" s="193" t="s">
        <v>468</v>
      </c>
      <c r="E312" s="193" t="s">
        <v>644</v>
      </c>
      <c r="F312" s="74"/>
      <c r="G312" s="193"/>
      <c r="H312" s="193"/>
      <c r="I312" s="193"/>
      <c r="J312" s="193"/>
      <c r="K312" s="193"/>
      <c r="L312" s="193"/>
      <c r="M312" s="193"/>
      <c r="N312" s="193"/>
      <c r="O312" s="193"/>
      <c r="P312" s="193"/>
      <c r="Q312" s="193"/>
      <c r="R312" s="193"/>
      <c r="S312" s="193"/>
      <c r="T312" s="193"/>
      <c r="U312" s="181">
        <v>0</v>
      </c>
      <c r="V312" s="180">
        <v>0</v>
      </c>
      <c r="W312" s="180">
        <v>0</v>
      </c>
      <c r="X312" s="180">
        <v>0</v>
      </c>
      <c r="Y312" s="180">
        <v>0</v>
      </c>
    </row>
    <row r="313" spans="1:25" s="4" customFormat="1" ht="144" x14ac:dyDescent="0.3">
      <c r="A313" s="190" t="s">
        <v>645</v>
      </c>
      <c r="B313" s="182" t="s">
        <v>646</v>
      </c>
      <c r="C313" s="182" t="s">
        <v>647</v>
      </c>
      <c r="D313" s="193" t="s">
        <v>468</v>
      </c>
      <c r="E313" s="193" t="s">
        <v>648</v>
      </c>
      <c r="F313" s="74"/>
      <c r="G313" s="193"/>
      <c r="H313" s="193"/>
      <c r="I313" s="193"/>
      <c r="J313" s="193"/>
      <c r="K313" s="193"/>
      <c r="L313" s="193"/>
      <c r="M313" s="193"/>
      <c r="N313" s="193"/>
      <c r="O313" s="193"/>
      <c r="P313" s="193"/>
      <c r="Q313" s="193"/>
      <c r="R313" s="193"/>
      <c r="S313" s="193"/>
      <c r="T313" s="193"/>
      <c r="U313" s="181">
        <v>0</v>
      </c>
      <c r="V313" s="180">
        <v>0</v>
      </c>
      <c r="W313" s="180">
        <v>0</v>
      </c>
      <c r="X313" s="180">
        <v>0</v>
      </c>
      <c r="Y313" s="180">
        <v>0</v>
      </c>
    </row>
    <row r="314" spans="1:25" s="4" customFormat="1" ht="72" x14ac:dyDescent="0.3">
      <c r="A314" s="190" t="s">
        <v>649</v>
      </c>
      <c r="B314" s="182" t="s">
        <v>650</v>
      </c>
      <c r="C314" s="182" t="s">
        <v>651</v>
      </c>
      <c r="D314" s="193" t="s">
        <v>468</v>
      </c>
      <c r="E314" s="193" t="s">
        <v>640</v>
      </c>
      <c r="F314" s="74"/>
      <c r="G314" s="193"/>
      <c r="H314" s="193"/>
      <c r="I314" s="193"/>
      <c r="J314" s="193"/>
      <c r="K314" s="193"/>
      <c r="L314" s="193"/>
      <c r="M314" s="193"/>
      <c r="N314" s="193"/>
      <c r="O314" s="193"/>
      <c r="P314" s="193"/>
      <c r="Q314" s="193"/>
      <c r="R314" s="193"/>
      <c r="S314" s="193"/>
      <c r="T314" s="193"/>
      <c r="U314" s="181">
        <v>0</v>
      </c>
      <c r="V314" s="180">
        <v>0</v>
      </c>
      <c r="W314" s="180">
        <v>0</v>
      </c>
      <c r="X314" s="180">
        <v>0</v>
      </c>
      <c r="Y314" s="180">
        <v>0</v>
      </c>
    </row>
    <row r="315" spans="1:25" ht="24" x14ac:dyDescent="0.3">
      <c r="A315" s="90" t="s">
        <v>652</v>
      </c>
      <c r="B315" s="931" t="s">
        <v>653</v>
      </c>
      <c r="C315" s="931"/>
      <c r="D315" s="931"/>
      <c r="E315" s="931"/>
      <c r="F315" s="931"/>
      <c r="G315" s="931"/>
      <c r="H315" s="931"/>
      <c r="I315" s="931"/>
      <c r="J315" s="931"/>
      <c r="K315" s="931"/>
      <c r="L315" s="931"/>
      <c r="M315" s="931"/>
      <c r="N315" s="931"/>
      <c r="O315" s="931"/>
      <c r="P315" s="931"/>
      <c r="Q315" s="931"/>
      <c r="R315" s="931"/>
      <c r="S315" s="931"/>
      <c r="T315" s="931"/>
      <c r="U315" s="51"/>
      <c r="V315" s="52"/>
      <c r="W315" s="52"/>
      <c r="X315" s="52"/>
      <c r="Y315" s="52"/>
    </row>
    <row r="316" spans="1:25" s="4" customFormat="1" ht="156" customHeight="1" x14ac:dyDescent="0.3">
      <c r="A316" s="190" t="s">
        <v>1237</v>
      </c>
      <c r="B316" s="182" t="s">
        <v>1234</v>
      </c>
      <c r="C316" s="182" t="s">
        <v>1235</v>
      </c>
      <c r="D316" s="182" t="s">
        <v>468</v>
      </c>
      <c r="E316" s="182" t="s">
        <v>1236</v>
      </c>
      <c r="F316" s="182"/>
      <c r="G316" s="182"/>
      <c r="H316" s="182"/>
      <c r="I316" s="182"/>
      <c r="J316" s="182"/>
      <c r="K316" s="182"/>
      <c r="L316" s="182"/>
      <c r="M316" s="182"/>
      <c r="N316" s="182"/>
      <c r="O316" s="182"/>
      <c r="P316" s="182"/>
      <c r="Q316" s="182"/>
      <c r="R316" s="182"/>
      <c r="S316" s="182"/>
      <c r="T316" s="182"/>
      <c r="U316" s="181">
        <v>0</v>
      </c>
      <c r="V316" s="180">
        <v>0</v>
      </c>
      <c r="W316" s="180">
        <v>0</v>
      </c>
      <c r="X316" s="180">
        <v>0</v>
      </c>
      <c r="Y316" s="180">
        <v>0</v>
      </c>
    </row>
    <row r="317" spans="1:25" ht="24" x14ac:dyDescent="0.3">
      <c r="A317" s="66" t="s">
        <v>654</v>
      </c>
      <c r="B317" s="927" t="s">
        <v>655</v>
      </c>
      <c r="C317" s="927"/>
      <c r="D317" s="927"/>
      <c r="E317" s="927"/>
      <c r="F317" s="927"/>
      <c r="G317" s="927"/>
      <c r="H317" s="927"/>
      <c r="I317" s="927"/>
      <c r="J317" s="927"/>
      <c r="K317" s="927"/>
      <c r="L317" s="927"/>
      <c r="M317" s="927"/>
      <c r="N317" s="927"/>
      <c r="O317" s="927"/>
      <c r="P317" s="927"/>
      <c r="Q317" s="927"/>
      <c r="R317" s="927"/>
      <c r="S317" s="927"/>
      <c r="T317" s="927"/>
      <c r="U317" s="51"/>
      <c r="V317" s="52"/>
      <c r="W317" s="52"/>
      <c r="X317" s="52"/>
      <c r="Y317" s="52"/>
    </row>
    <row r="318" spans="1:25" s="4" customFormat="1" ht="245.25" customHeight="1" x14ac:dyDescent="0.3">
      <c r="A318" s="190" t="s">
        <v>656</v>
      </c>
      <c r="B318" s="182" t="s">
        <v>657</v>
      </c>
      <c r="C318" s="182" t="s">
        <v>836</v>
      </c>
      <c r="D318" s="193" t="s">
        <v>1222</v>
      </c>
      <c r="E318" s="193" t="s">
        <v>658</v>
      </c>
      <c r="F318" s="74"/>
      <c r="G318" s="193"/>
      <c r="H318" s="193"/>
      <c r="I318" s="193"/>
      <c r="J318" s="193"/>
      <c r="K318" s="193"/>
      <c r="L318" s="193"/>
      <c r="M318" s="193"/>
      <c r="N318" s="193"/>
      <c r="O318" s="193"/>
      <c r="P318" s="193"/>
      <c r="Q318" s="193"/>
      <c r="R318" s="193"/>
      <c r="S318" s="193"/>
      <c r="T318" s="193"/>
      <c r="U318" s="181">
        <v>0</v>
      </c>
      <c r="V318" s="180">
        <v>0</v>
      </c>
      <c r="W318" s="180">
        <v>0</v>
      </c>
      <c r="X318" s="180">
        <v>0</v>
      </c>
      <c r="Y318" s="180">
        <v>0</v>
      </c>
    </row>
    <row r="319" spans="1:25" s="4" customFormat="1" ht="296.25" customHeight="1" x14ac:dyDescent="0.3">
      <c r="A319" s="190" t="s">
        <v>659</v>
      </c>
      <c r="B319" s="182" t="s">
        <v>660</v>
      </c>
      <c r="C319" s="182" t="s">
        <v>661</v>
      </c>
      <c r="D319" s="193" t="s">
        <v>468</v>
      </c>
      <c r="E319" s="193" t="s">
        <v>662</v>
      </c>
      <c r="F319" s="74"/>
      <c r="G319" s="193"/>
      <c r="H319" s="193"/>
      <c r="I319" s="193"/>
      <c r="J319" s="193"/>
      <c r="K319" s="193"/>
      <c r="L319" s="193"/>
      <c r="M319" s="193"/>
      <c r="N319" s="193"/>
      <c r="O319" s="193"/>
      <c r="P319" s="193"/>
      <c r="Q319" s="193"/>
      <c r="R319" s="193"/>
      <c r="S319" s="193"/>
      <c r="T319" s="193"/>
      <c r="U319" s="181">
        <v>0</v>
      </c>
      <c r="V319" s="180">
        <v>0</v>
      </c>
      <c r="W319" s="180">
        <v>0</v>
      </c>
      <c r="X319" s="180">
        <v>0</v>
      </c>
      <c r="Y319" s="180">
        <v>0</v>
      </c>
    </row>
    <row r="320" spans="1:25" ht="24" x14ac:dyDescent="0.3">
      <c r="A320" s="67" t="s">
        <v>663</v>
      </c>
      <c r="B320" s="932" t="s">
        <v>664</v>
      </c>
      <c r="C320" s="932"/>
      <c r="D320" s="932"/>
      <c r="E320" s="932"/>
      <c r="F320" s="932"/>
      <c r="G320" s="932"/>
      <c r="H320" s="932"/>
      <c r="I320" s="932"/>
      <c r="J320" s="932"/>
      <c r="K320" s="932"/>
      <c r="L320" s="932"/>
      <c r="M320" s="932"/>
      <c r="N320" s="932"/>
      <c r="O320" s="932"/>
      <c r="P320" s="932"/>
      <c r="Q320" s="932"/>
      <c r="R320" s="932"/>
      <c r="S320" s="932"/>
      <c r="T320" s="932"/>
      <c r="U320" s="56"/>
      <c r="V320" s="57"/>
      <c r="W320" s="57"/>
      <c r="X320" s="57"/>
      <c r="Y320" s="57"/>
    </row>
    <row r="321" spans="1:25" ht="24" x14ac:dyDescent="0.3">
      <c r="A321" s="66" t="s">
        <v>665</v>
      </c>
      <c r="B321" s="927" t="s">
        <v>666</v>
      </c>
      <c r="C321" s="927"/>
      <c r="D321" s="927"/>
      <c r="E321" s="927"/>
      <c r="F321" s="927"/>
      <c r="G321" s="927"/>
      <c r="H321" s="927"/>
      <c r="I321" s="927"/>
      <c r="J321" s="927"/>
      <c r="K321" s="927"/>
      <c r="L321" s="927"/>
      <c r="M321" s="927"/>
      <c r="N321" s="927"/>
      <c r="O321" s="927"/>
      <c r="P321" s="927"/>
      <c r="Q321" s="927"/>
      <c r="R321" s="927"/>
      <c r="S321" s="927"/>
      <c r="T321" s="927"/>
      <c r="U321" s="51"/>
      <c r="V321" s="52"/>
      <c r="W321" s="52"/>
      <c r="X321" s="52"/>
      <c r="Y321" s="52"/>
    </row>
    <row r="322" spans="1:25" s="4" customFormat="1" ht="82.5" customHeight="1" x14ac:dyDescent="0.3">
      <c r="A322" s="862" t="s">
        <v>667</v>
      </c>
      <c r="B322" s="804" t="s">
        <v>668</v>
      </c>
      <c r="C322" s="859" t="s">
        <v>1358</v>
      </c>
      <c r="D322" s="714" t="s">
        <v>669</v>
      </c>
      <c r="E322" s="714" t="s">
        <v>52</v>
      </c>
      <c r="F322" s="817" t="s">
        <v>670</v>
      </c>
      <c r="G322" s="187" t="s">
        <v>58</v>
      </c>
      <c r="H322" s="65">
        <v>320</v>
      </c>
      <c r="I322" s="65">
        <v>100</v>
      </c>
      <c r="J322" s="65">
        <v>100</v>
      </c>
      <c r="K322" s="65">
        <v>100</v>
      </c>
      <c r="L322" s="65">
        <v>100</v>
      </c>
      <c r="M322" s="65">
        <v>100</v>
      </c>
      <c r="N322" s="65">
        <v>100</v>
      </c>
      <c r="O322" s="65">
        <v>100</v>
      </c>
      <c r="P322" s="65">
        <v>100</v>
      </c>
      <c r="Q322" s="65">
        <v>100</v>
      </c>
      <c r="R322" s="65">
        <v>100</v>
      </c>
      <c r="S322" s="65">
        <v>100</v>
      </c>
      <c r="T322" s="65">
        <v>100</v>
      </c>
      <c r="U322" s="773">
        <v>24768</v>
      </c>
      <c r="V322" s="791">
        <v>24768</v>
      </c>
      <c r="W322" s="791">
        <v>0</v>
      </c>
      <c r="X322" s="791">
        <v>0</v>
      </c>
      <c r="Y322" s="791">
        <v>0</v>
      </c>
    </row>
    <row r="323" spans="1:25" s="4" customFormat="1" ht="159" customHeight="1" x14ac:dyDescent="0.3">
      <c r="A323" s="869"/>
      <c r="B323" s="852"/>
      <c r="C323" s="860"/>
      <c r="D323" s="748"/>
      <c r="E323" s="748"/>
      <c r="F323" s="818"/>
      <c r="G323" s="187" t="s">
        <v>31</v>
      </c>
      <c r="H323" s="65">
        <v>16</v>
      </c>
      <c r="I323" s="65">
        <v>6</v>
      </c>
      <c r="J323" s="65">
        <v>6</v>
      </c>
      <c r="K323" s="65">
        <v>6</v>
      </c>
      <c r="L323" s="65">
        <v>6</v>
      </c>
      <c r="M323" s="65">
        <v>6</v>
      </c>
      <c r="N323" s="65">
        <v>6</v>
      </c>
      <c r="O323" s="65">
        <v>6</v>
      </c>
      <c r="P323" s="65">
        <v>6</v>
      </c>
      <c r="Q323" s="65">
        <v>6</v>
      </c>
      <c r="R323" s="65">
        <v>6</v>
      </c>
      <c r="S323" s="65">
        <v>6</v>
      </c>
      <c r="T323" s="65">
        <v>6</v>
      </c>
      <c r="U323" s="799"/>
      <c r="V323" s="795"/>
      <c r="W323" s="795"/>
      <c r="X323" s="795"/>
      <c r="Y323" s="795"/>
    </row>
    <row r="324" spans="1:25" s="4" customFormat="1" ht="168" x14ac:dyDescent="0.3">
      <c r="A324" s="869"/>
      <c r="B324" s="852"/>
      <c r="C324" s="860"/>
      <c r="D324" s="748"/>
      <c r="E324" s="748"/>
      <c r="F324" s="192" t="s">
        <v>671</v>
      </c>
      <c r="G324" s="187" t="s">
        <v>31</v>
      </c>
      <c r="H324" s="65">
        <v>15</v>
      </c>
      <c r="I324" s="65">
        <v>4</v>
      </c>
      <c r="J324" s="65">
        <v>4</v>
      </c>
      <c r="K324" s="65">
        <v>4</v>
      </c>
      <c r="L324" s="65">
        <v>4</v>
      </c>
      <c r="M324" s="65">
        <v>4</v>
      </c>
      <c r="N324" s="65">
        <v>4</v>
      </c>
      <c r="O324" s="65">
        <v>4</v>
      </c>
      <c r="P324" s="65">
        <v>4</v>
      </c>
      <c r="Q324" s="65">
        <v>4</v>
      </c>
      <c r="R324" s="65">
        <v>4</v>
      </c>
      <c r="S324" s="65">
        <v>4</v>
      </c>
      <c r="T324" s="65">
        <v>4</v>
      </c>
      <c r="U324" s="799"/>
      <c r="V324" s="795"/>
      <c r="W324" s="795"/>
      <c r="X324" s="795"/>
      <c r="Y324" s="795"/>
    </row>
    <row r="325" spans="1:25" s="4" customFormat="1" ht="96" x14ac:dyDescent="0.3">
      <c r="A325" s="869"/>
      <c r="B325" s="852"/>
      <c r="C325" s="860"/>
      <c r="D325" s="748"/>
      <c r="E325" s="748"/>
      <c r="F325" s="192" t="s">
        <v>672</v>
      </c>
      <c r="G325" s="187" t="s">
        <v>31</v>
      </c>
      <c r="H325" s="65">
        <v>212</v>
      </c>
      <c r="I325" s="65">
        <v>90</v>
      </c>
      <c r="J325" s="65">
        <v>90</v>
      </c>
      <c r="K325" s="65">
        <v>90</v>
      </c>
      <c r="L325" s="65">
        <v>90</v>
      </c>
      <c r="M325" s="65">
        <v>90</v>
      </c>
      <c r="N325" s="65">
        <v>90</v>
      </c>
      <c r="O325" s="65">
        <v>90</v>
      </c>
      <c r="P325" s="65">
        <v>90</v>
      </c>
      <c r="Q325" s="65">
        <v>90</v>
      </c>
      <c r="R325" s="65">
        <v>90</v>
      </c>
      <c r="S325" s="65">
        <v>90</v>
      </c>
      <c r="T325" s="65">
        <v>90</v>
      </c>
      <c r="U325" s="799"/>
      <c r="V325" s="795"/>
      <c r="W325" s="795"/>
      <c r="X325" s="795"/>
      <c r="Y325" s="795"/>
    </row>
    <row r="326" spans="1:25" s="4" customFormat="1" ht="96" x14ac:dyDescent="0.3">
      <c r="A326" s="869"/>
      <c r="B326" s="852"/>
      <c r="C326" s="860"/>
      <c r="D326" s="748"/>
      <c r="E326" s="748"/>
      <c r="F326" s="192" t="s">
        <v>673</v>
      </c>
      <c r="G326" s="187" t="s">
        <v>674</v>
      </c>
      <c r="H326" s="139">
        <v>15</v>
      </c>
      <c r="I326" s="139">
        <v>10</v>
      </c>
      <c r="J326" s="139">
        <v>10</v>
      </c>
      <c r="K326" s="139">
        <v>10</v>
      </c>
      <c r="L326" s="139">
        <v>10</v>
      </c>
      <c r="M326" s="139">
        <v>10</v>
      </c>
      <c r="N326" s="139">
        <v>10</v>
      </c>
      <c r="O326" s="139">
        <v>10</v>
      </c>
      <c r="P326" s="139">
        <v>10</v>
      </c>
      <c r="Q326" s="139">
        <v>10</v>
      </c>
      <c r="R326" s="139">
        <v>10</v>
      </c>
      <c r="S326" s="139">
        <v>10</v>
      </c>
      <c r="T326" s="139">
        <v>10</v>
      </c>
      <c r="U326" s="799"/>
      <c r="V326" s="795"/>
      <c r="W326" s="795"/>
      <c r="X326" s="795"/>
      <c r="Y326" s="795"/>
    </row>
    <row r="327" spans="1:25" s="4" customFormat="1" ht="225.75" customHeight="1" x14ac:dyDescent="0.3">
      <c r="A327" s="863"/>
      <c r="B327" s="852"/>
      <c r="C327" s="860"/>
      <c r="D327" s="715"/>
      <c r="E327" s="715"/>
      <c r="F327" s="158" t="s">
        <v>675</v>
      </c>
      <c r="G327" s="160" t="s">
        <v>62</v>
      </c>
      <c r="H327" s="212">
        <v>100</v>
      </c>
      <c r="I327" s="212">
        <v>100</v>
      </c>
      <c r="J327" s="212">
        <v>100</v>
      </c>
      <c r="K327" s="212">
        <v>100</v>
      </c>
      <c r="L327" s="212">
        <v>100</v>
      </c>
      <c r="M327" s="212">
        <v>100</v>
      </c>
      <c r="N327" s="212">
        <v>100</v>
      </c>
      <c r="O327" s="212">
        <v>100</v>
      </c>
      <c r="P327" s="212">
        <v>100</v>
      </c>
      <c r="Q327" s="212">
        <v>100</v>
      </c>
      <c r="R327" s="212">
        <v>100</v>
      </c>
      <c r="S327" s="212">
        <v>100</v>
      </c>
      <c r="T327" s="212">
        <v>100</v>
      </c>
      <c r="U327" s="774"/>
      <c r="V327" s="792"/>
      <c r="W327" s="792"/>
      <c r="X327" s="792"/>
      <c r="Y327" s="792"/>
    </row>
    <row r="328" spans="1:25" s="4" customFormat="1" ht="112.5" customHeight="1" x14ac:dyDescent="0.3">
      <c r="A328" s="877" t="s">
        <v>676</v>
      </c>
      <c r="B328" s="864" t="s">
        <v>677</v>
      </c>
      <c r="C328" s="866" t="s">
        <v>1359</v>
      </c>
      <c r="D328" s="759" t="s">
        <v>669</v>
      </c>
      <c r="E328" s="759" t="s">
        <v>52</v>
      </c>
      <c r="F328" s="841" t="s">
        <v>678</v>
      </c>
      <c r="G328" s="187" t="s">
        <v>58</v>
      </c>
      <c r="H328" s="65">
        <v>100</v>
      </c>
      <c r="I328" s="65">
        <v>100</v>
      </c>
      <c r="J328" s="65">
        <v>100</v>
      </c>
      <c r="K328" s="65">
        <v>100</v>
      </c>
      <c r="L328" s="65">
        <v>100</v>
      </c>
      <c r="M328" s="65">
        <v>100</v>
      </c>
      <c r="N328" s="65">
        <v>100</v>
      </c>
      <c r="O328" s="65">
        <v>100</v>
      </c>
      <c r="P328" s="65">
        <v>100</v>
      </c>
      <c r="Q328" s="65">
        <v>100</v>
      </c>
      <c r="R328" s="65">
        <v>100</v>
      </c>
      <c r="S328" s="65">
        <v>100</v>
      </c>
      <c r="T328" s="65">
        <v>100</v>
      </c>
      <c r="U328" s="773">
        <v>420</v>
      </c>
      <c r="V328" s="791">
        <v>420</v>
      </c>
      <c r="W328" s="791">
        <v>0</v>
      </c>
      <c r="X328" s="791">
        <v>0</v>
      </c>
      <c r="Y328" s="791">
        <v>0</v>
      </c>
    </row>
    <row r="329" spans="1:25" s="4" customFormat="1" ht="173.25" customHeight="1" x14ac:dyDescent="0.3">
      <c r="A329" s="877"/>
      <c r="B329" s="864"/>
      <c r="C329" s="866"/>
      <c r="D329" s="759"/>
      <c r="E329" s="759"/>
      <c r="F329" s="841"/>
      <c r="G329" s="187" t="s">
        <v>31</v>
      </c>
      <c r="H329" s="65">
        <v>231</v>
      </c>
      <c r="I329" s="65">
        <v>150</v>
      </c>
      <c r="J329" s="65">
        <v>150</v>
      </c>
      <c r="K329" s="65">
        <v>150</v>
      </c>
      <c r="L329" s="65">
        <v>150</v>
      </c>
      <c r="M329" s="65">
        <v>150</v>
      </c>
      <c r="N329" s="65">
        <v>150</v>
      </c>
      <c r="O329" s="65">
        <v>150</v>
      </c>
      <c r="P329" s="65">
        <v>150</v>
      </c>
      <c r="Q329" s="65">
        <v>150</v>
      </c>
      <c r="R329" s="65">
        <v>150</v>
      </c>
      <c r="S329" s="65">
        <v>150</v>
      </c>
      <c r="T329" s="65">
        <v>150</v>
      </c>
      <c r="U329" s="774"/>
      <c r="V329" s="792"/>
      <c r="W329" s="792"/>
      <c r="X329" s="792"/>
      <c r="Y329" s="792"/>
    </row>
    <row r="330" spans="1:25" s="4" customFormat="1" ht="78" customHeight="1" x14ac:dyDescent="0.3">
      <c r="A330" s="877" t="s">
        <v>679</v>
      </c>
      <c r="B330" s="864" t="s">
        <v>680</v>
      </c>
      <c r="C330" s="866" t="s">
        <v>1360</v>
      </c>
      <c r="D330" s="759" t="s">
        <v>669</v>
      </c>
      <c r="E330" s="759" t="s">
        <v>52</v>
      </c>
      <c r="F330" s="841" t="s">
        <v>681</v>
      </c>
      <c r="G330" s="187" t="s">
        <v>58</v>
      </c>
      <c r="H330" s="65">
        <v>109</v>
      </c>
      <c r="I330" s="65">
        <v>100</v>
      </c>
      <c r="J330" s="65">
        <v>100</v>
      </c>
      <c r="K330" s="65">
        <v>100</v>
      </c>
      <c r="L330" s="65">
        <v>100</v>
      </c>
      <c r="M330" s="65">
        <v>100</v>
      </c>
      <c r="N330" s="65">
        <v>100</v>
      </c>
      <c r="O330" s="65">
        <v>100</v>
      </c>
      <c r="P330" s="65">
        <v>100</v>
      </c>
      <c r="Q330" s="65">
        <v>100</v>
      </c>
      <c r="R330" s="65">
        <v>100</v>
      </c>
      <c r="S330" s="65">
        <v>100</v>
      </c>
      <c r="T330" s="65">
        <v>100</v>
      </c>
      <c r="U330" s="855">
        <v>4140</v>
      </c>
      <c r="V330" s="791">
        <v>4140</v>
      </c>
      <c r="W330" s="791">
        <v>0</v>
      </c>
      <c r="X330" s="791">
        <v>0</v>
      </c>
      <c r="Y330" s="791">
        <v>0</v>
      </c>
    </row>
    <row r="331" spans="1:25" s="4" customFormat="1" ht="62.25" customHeight="1" x14ac:dyDescent="0.3">
      <c r="A331" s="877"/>
      <c r="B331" s="864"/>
      <c r="C331" s="866"/>
      <c r="D331" s="759"/>
      <c r="E331" s="759"/>
      <c r="F331" s="841"/>
      <c r="G331" s="187" t="s">
        <v>74</v>
      </c>
      <c r="H331" s="65">
        <v>50</v>
      </c>
      <c r="I331" s="65">
        <v>55</v>
      </c>
      <c r="J331" s="65">
        <v>55</v>
      </c>
      <c r="K331" s="65">
        <v>55</v>
      </c>
      <c r="L331" s="65">
        <v>55</v>
      </c>
      <c r="M331" s="65">
        <v>55</v>
      </c>
      <c r="N331" s="65">
        <v>55</v>
      </c>
      <c r="O331" s="65">
        <v>55</v>
      </c>
      <c r="P331" s="65">
        <v>55</v>
      </c>
      <c r="Q331" s="65">
        <v>55</v>
      </c>
      <c r="R331" s="65">
        <v>55</v>
      </c>
      <c r="S331" s="65">
        <v>55</v>
      </c>
      <c r="T331" s="65">
        <v>55</v>
      </c>
      <c r="U331" s="855"/>
      <c r="V331" s="795"/>
      <c r="W331" s="795"/>
      <c r="X331" s="795"/>
      <c r="Y331" s="795"/>
    </row>
    <row r="332" spans="1:25" s="4" customFormat="1" ht="108.75" customHeight="1" x14ac:dyDescent="0.3">
      <c r="A332" s="877"/>
      <c r="B332" s="864"/>
      <c r="C332" s="866"/>
      <c r="D332" s="759"/>
      <c r="E332" s="759"/>
      <c r="F332" s="192" t="s">
        <v>881</v>
      </c>
      <c r="G332" s="187" t="s">
        <v>31</v>
      </c>
      <c r="H332" s="187">
        <v>382.7</v>
      </c>
      <c r="I332" s="187">
        <v>286.2</v>
      </c>
      <c r="J332" s="187">
        <v>286.2</v>
      </c>
      <c r="K332" s="187">
        <v>286.2</v>
      </c>
      <c r="L332" s="187">
        <v>286.2</v>
      </c>
      <c r="M332" s="187">
        <v>286.2</v>
      </c>
      <c r="N332" s="187">
        <v>286.2</v>
      </c>
      <c r="O332" s="187">
        <v>289.2</v>
      </c>
      <c r="P332" s="187">
        <v>289.2</v>
      </c>
      <c r="Q332" s="187">
        <v>289.2</v>
      </c>
      <c r="R332" s="187">
        <v>289.2</v>
      </c>
      <c r="S332" s="187">
        <v>289.2</v>
      </c>
      <c r="T332" s="187">
        <v>292.2</v>
      </c>
      <c r="U332" s="855"/>
      <c r="V332" s="795"/>
      <c r="W332" s="795"/>
      <c r="X332" s="795"/>
      <c r="Y332" s="795"/>
    </row>
    <row r="333" spans="1:25" s="4" customFormat="1" ht="96" x14ac:dyDescent="0.3">
      <c r="A333" s="877"/>
      <c r="B333" s="864"/>
      <c r="C333" s="866"/>
      <c r="D333" s="759"/>
      <c r="E333" s="759"/>
      <c r="F333" s="192" t="s">
        <v>882</v>
      </c>
      <c r="G333" s="187" t="s">
        <v>62</v>
      </c>
      <c r="H333" s="187">
        <v>15.8</v>
      </c>
      <c r="I333" s="187">
        <v>16.739999999999998</v>
      </c>
      <c r="J333" s="187">
        <v>16.899999999999999</v>
      </c>
      <c r="K333" s="187">
        <v>16.899999999999999</v>
      </c>
      <c r="L333" s="187">
        <v>16.899999999999999</v>
      </c>
      <c r="M333" s="187">
        <v>16.899999999999999</v>
      </c>
      <c r="N333" s="187">
        <v>16.899999999999999</v>
      </c>
      <c r="O333" s="187">
        <v>17.2</v>
      </c>
      <c r="P333" s="187">
        <v>17.2</v>
      </c>
      <c r="Q333" s="187">
        <v>17.2</v>
      </c>
      <c r="R333" s="187">
        <v>17.2</v>
      </c>
      <c r="S333" s="187">
        <v>17.2</v>
      </c>
      <c r="T333" s="187">
        <v>17.3</v>
      </c>
      <c r="U333" s="855"/>
      <c r="V333" s="795"/>
      <c r="W333" s="795"/>
      <c r="X333" s="795"/>
      <c r="Y333" s="795"/>
    </row>
    <row r="334" spans="1:25" s="4" customFormat="1" ht="72" x14ac:dyDescent="0.3">
      <c r="A334" s="877"/>
      <c r="B334" s="864"/>
      <c r="C334" s="866"/>
      <c r="D334" s="759"/>
      <c r="E334" s="759"/>
      <c r="F334" s="192" t="s">
        <v>883</v>
      </c>
      <c r="G334" s="187" t="s">
        <v>74</v>
      </c>
      <c r="H334" s="65">
        <v>18044</v>
      </c>
      <c r="I334" s="65">
        <v>15612</v>
      </c>
      <c r="J334" s="65">
        <v>17902</v>
      </c>
      <c r="K334" s="65">
        <v>17902</v>
      </c>
      <c r="L334" s="65">
        <v>17902</v>
      </c>
      <c r="M334" s="65">
        <v>17902</v>
      </c>
      <c r="N334" s="65">
        <v>17902</v>
      </c>
      <c r="O334" s="65">
        <v>18306</v>
      </c>
      <c r="P334" s="65">
        <v>18306</v>
      </c>
      <c r="Q334" s="65">
        <v>18306</v>
      </c>
      <c r="R334" s="65">
        <v>18306</v>
      </c>
      <c r="S334" s="65">
        <v>18306</v>
      </c>
      <c r="T334" s="65">
        <v>18596</v>
      </c>
      <c r="U334" s="855"/>
      <c r="V334" s="792"/>
      <c r="W334" s="792"/>
      <c r="X334" s="792"/>
      <c r="Y334" s="792"/>
    </row>
    <row r="335" spans="1:25" s="4" customFormat="1" ht="136.5" customHeight="1" x14ac:dyDescent="0.3">
      <c r="A335" s="863" t="s">
        <v>682</v>
      </c>
      <c r="B335" s="805" t="s">
        <v>683</v>
      </c>
      <c r="C335" s="861" t="s">
        <v>1361</v>
      </c>
      <c r="D335" s="715" t="s">
        <v>669</v>
      </c>
      <c r="E335" s="748" t="s">
        <v>52</v>
      </c>
      <c r="F335" s="818" t="s">
        <v>684</v>
      </c>
      <c r="G335" s="162" t="s">
        <v>58</v>
      </c>
      <c r="H335" s="216">
        <v>100</v>
      </c>
      <c r="I335" s="216">
        <v>100</v>
      </c>
      <c r="J335" s="216">
        <v>100</v>
      </c>
      <c r="K335" s="216">
        <v>100</v>
      </c>
      <c r="L335" s="216">
        <v>100</v>
      </c>
      <c r="M335" s="216">
        <v>100</v>
      </c>
      <c r="N335" s="216">
        <v>100</v>
      </c>
      <c r="O335" s="216">
        <v>100</v>
      </c>
      <c r="P335" s="216">
        <v>100</v>
      </c>
      <c r="Q335" s="216">
        <v>100</v>
      </c>
      <c r="R335" s="216">
        <v>100</v>
      </c>
      <c r="S335" s="216">
        <v>100</v>
      </c>
      <c r="T335" s="216">
        <v>100</v>
      </c>
      <c r="U335" s="799">
        <v>41832</v>
      </c>
      <c r="V335" s="791">
        <v>41832</v>
      </c>
      <c r="W335" s="791">
        <v>0</v>
      </c>
      <c r="X335" s="791">
        <v>0</v>
      </c>
      <c r="Y335" s="791">
        <v>0</v>
      </c>
    </row>
    <row r="336" spans="1:25" s="4" customFormat="1" ht="114" customHeight="1" x14ac:dyDescent="0.3">
      <c r="A336" s="877"/>
      <c r="B336" s="864"/>
      <c r="C336" s="866"/>
      <c r="D336" s="759"/>
      <c r="E336" s="715"/>
      <c r="F336" s="841"/>
      <c r="G336" s="187" t="s">
        <v>31</v>
      </c>
      <c r="H336" s="65">
        <v>1</v>
      </c>
      <c r="I336" s="65">
        <v>2</v>
      </c>
      <c r="J336" s="65">
        <v>2</v>
      </c>
      <c r="K336" s="65">
        <v>2</v>
      </c>
      <c r="L336" s="65">
        <v>2</v>
      </c>
      <c r="M336" s="65">
        <v>2</v>
      </c>
      <c r="N336" s="65">
        <v>2</v>
      </c>
      <c r="O336" s="65">
        <v>2</v>
      </c>
      <c r="P336" s="65">
        <v>2</v>
      </c>
      <c r="Q336" s="65">
        <v>2</v>
      </c>
      <c r="R336" s="65">
        <v>2</v>
      </c>
      <c r="S336" s="65">
        <v>2</v>
      </c>
      <c r="T336" s="65">
        <v>2</v>
      </c>
      <c r="U336" s="774"/>
      <c r="V336" s="792"/>
      <c r="W336" s="792"/>
      <c r="X336" s="792"/>
      <c r="Y336" s="792"/>
    </row>
    <row r="337" spans="1:25" s="4" customFormat="1" ht="409.6" customHeight="1" x14ac:dyDescent="0.3">
      <c r="A337" s="190" t="s">
        <v>1363</v>
      </c>
      <c r="B337" s="189" t="s">
        <v>688</v>
      </c>
      <c r="C337" s="188" t="s">
        <v>1362</v>
      </c>
      <c r="D337" s="193" t="s">
        <v>669</v>
      </c>
      <c r="E337" s="193" t="s">
        <v>52</v>
      </c>
      <c r="F337" s="215" t="s">
        <v>689</v>
      </c>
      <c r="G337" s="187" t="s">
        <v>62</v>
      </c>
      <c r="H337" s="44">
        <v>0</v>
      </c>
      <c r="I337" s="44">
        <v>80</v>
      </c>
      <c r="J337" s="44">
        <v>80</v>
      </c>
      <c r="K337" s="44">
        <v>80</v>
      </c>
      <c r="L337" s="44">
        <v>80</v>
      </c>
      <c r="M337" s="44">
        <v>80</v>
      </c>
      <c r="N337" s="44">
        <v>80</v>
      </c>
      <c r="O337" s="44">
        <v>80</v>
      </c>
      <c r="P337" s="44">
        <v>80</v>
      </c>
      <c r="Q337" s="44">
        <v>80</v>
      </c>
      <c r="R337" s="44">
        <v>80</v>
      </c>
      <c r="S337" s="44">
        <v>80</v>
      </c>
      <c r="T337" s="44">
        <v>80</v>
      </c>
      <c r="U337" s="181">
        <v>0</v>
      </c>
      <c r="V337" s="180">
        <v>0</v>
      </c>
      <c r="W337" s="180">
        <v>0</v>
      </c>
      <c r="X337" s="180">
        <v>0</v>
      </c>
      <c r="Y337" s="180">
        <v>0</v>
      </c>
    </row>
    <row r="338" spans="1:25" s="4" customFormat="1" ht="76.5" customHeight="1" x14ac:dyDescent="0.3">
      <c r="A338" s="190" t="s">
        <v>687</v>
      </c>
      <c r="B338" s="189" t="s">
        <v>691</v>
      </c>
      <c r="C338" s="188" t="s">
        <v>692</v>
      </c>
      <c r="D338" s="193" t="s">
        <v>669</v>
      </c>
      <c r="E338" s="193">
        <v>2019</v>
      </c>
      <c r="F338" s="192" t="s">
        <v>693</v>
      </c>
      <c r="G338" s="187" t="s">
        <v>117</v>
      </c>
      <c r="H338" s="193"/>
      <c r="I338" s="76" t="s">
        <v>118</v>
      </c>
      <c r="J338" s="76"/>
      <c r="K338" s="193"/>
      <c r="L338" s="193"/>
      <c r="M338" s="193"/>
      <c r="N338" s="193"/>
      <c r="O338" s="193"/>
      <c r="P338" s="193"/>
      <c r="Q338" s="193"/>
      <c r="R338" s="193"/>
      <c r="S338" s="193"/>
      <c r="T338" s="193"/>
      <c r="U338" s="181">
        <v>0</v>
      </c>
      <c r="V338" s="180">
        <v>0</v>
      </c>
      <c r="W338" s="180">
        <v>0</v>
      </c>
      <c r="X338" s="180">
        <v>0</v>
      </c>
      <c r="Y338" s="180">
        <v>0</v>
      </c>
    </row>
    <row r="339" spans="1:25" s="4" customFormat="1" ht="240" x14ac:dyDescent="0.3">
      <c r="A339" s="877" t="s">
        <v>690</v>
      </c>
      <c r="B339" s="864" t="s">
        <v>695</v>
      </c>
      <c r="C339" s="859" t="s">
        <v>696</v>
      </c>
      <c r="D339" s="714" t="s">
        <v>669</v>
      </c>
      <c r="E339" s="714" t="s">
        <v>144</v>
      </c>
      <c r="F339" s="192" t="s">
        <v>697</v>
      </c>
      <c r="G339" s="187" t="s">
        <v>117</v>
      </c>
      <c r="H339" s="193"/>
      <c r="I339" s="96" t="s">
        <v>118</v>
      </c>
      <c r="J339" s="96" t="s">
        <v>118</v>
      </c>
      <c r="K339" s="96" t="s">
        <v>118</v>
      </c>
      <c r="L339" s="96" t="s">
        <v>118</v>
      </c>
      <c r="M339" s="96"/>
      <c r="N339" s="96"/>
      <c r="O339" s="96"/>
      <c r="P339" s="96"/>
      <c r="Q339" s="96"/>
      <c r="R339" s="96"/>
      <c r="S339" s="96"/>
      <c r="T339" s="96"/>
      <c r="U339" s="773">
        <v>0</v>
      </c>
      <c r="V339" s="791">
        <v>0</v>
      </c>
      <c r="W339" s="791">
        <v>0</v>
      </c>
      <c r="X339" s="791">
        <v>0</v>
      </c>
      <c r="Y339" s="791">
        <v>0</v>
      </c>
    </row>
    <row r="340" spans="1:25" s="4" customFormat="1" ht="72" x14ac:dyDescent="0.3">
      <c r="A340" s="877"/>
      <c r="B340" s="864"/>
      <c r="C340" s="860"/>
      <c r="D340" s="748"/>
      <c r="E340" s="748"/>
      <c r="F340" s="159" t="s">
        <v>884</v>
      </c>
      <c r="G340" s="187" t="s">
        <v>62</v>
      </c>
      <c r="H340" s="139">
        <v>100</v>
      </c>
      <c r="I340" s="139">
        <v>144.69999999999999</v>
      </c>
      <c r="J340" s="139">
        <v>144.69999999999999</v>
      </c>
      <c r="K340" s="139">
        <v>144.69999999999999</v>
      </c>
      <c r="L340" s="139">
        <v>144.69999999999999</v>
      </c>
      <c r="M340" s="139">
        <v>144.69999999999999</v>
      </c>
      <c r="N340" s="139">
        <v>144.69999999999999</v>
      </c>
      <c r="O340" s="139">
        <v>192.1</v>
      </c>
      <c r="P340" s="139">
        <v>192.1</v>
      </c>
      <c r="Q340" s="139">
        <v>192.1</v>
      </c>
      <c r="R340" s="139">
        <v>192.1</v>
      </c>
      <c r="S340" s="139">
        <v>192.1</v>
      </c>
      <c r="T340" s="139">
        <v>220.5</v>
      </c>
      <c r="U340" s="799"/>
      <c r="V340" s="795"/>
      <c r="W340" s="795"/>
      <c r="X340" s="795"/>
      <c r="Y340" s="795"/>
    </row>
    <row r="341" spans="1:25" s="4" customFormat="1" ht="48" x14ac:dyDescent="0.3">
      <c r="A341" s="877"/>
      <c r="B341" s="864"/>
      <c r="C341" s="860"/>
      <c r="D341" s="748"/>
      <c r="E341" s="748"/>
      <c r="F341" s="159" t="s">
        <v>885</v>
      </c>
      <c r="G341" s="187" t="s">
        <v>62</v>
      </c>
      <c r="H341" s="139">
        <v>100</v>
      </c>
      <c r="I341" s="139">
        <v>121.4</v>
      </c>
      <c r="J341" s="139">
        <v>121.4</v>
      </c>
      <c r="K341" s="139">
        <v>121.4</v>
      </c>
      <c r="L341" s="139">
        <v>121.4</v>
      </c>
      <c r="M341" s="139">
        <v>121.4</v>
      </c>
      <c r="N341" s="139">
        <v>121.4</v>
      </c>
      <c r="O341" s="139">
        <v>143.5</v>
      </c>
      <c r="P341" s="139">
        <v>143.5</v>
      </c>
      <c r="Q341" s="139">
        <v>143.5</v>
      </c>
      <c r="R341" s="139">
        <v>143.5</v>
      </c>
      <c r="S341" s="139">
        <v>143.5</v>
      </c>
      <c r="T341" s="139">
        <v>164.7</v>
      </c>
      <c r="U341" s="799"/>
      <c r="V341" s="795"/>
      <c r="W341" s="795"/>
      <c r="X341" s="795"/>
      <c r="Y341" s="795"/>
    </row>
    <row r="342" spans="1:25" s="4" customFormat="1" ht="48" x14ac:dyDescent="0.3">
      <c r="A342" s="877"/>
      <c r="B342" s="864"/>
      <c r="C342" s="861"/>
      <c r="D342" s="715"/>
      <c r="E342" s="715"/>
      <c r="F342" s="159" t="s">
        <v>886</v>
      </c>
      <c r="G342" s="187" t="s">
        <v>62</v>
      </c>
      <c r="H342" s="139">
        <v>100</v>
      </c>
      <c r="I342" s="139">
        <v>129.5</v>
      </c>
      <c r="J342" s="139">
        <v>129.5</v>
      </c>
      <c r="K342" s="139">
        <v>129.5</v>
      </c>
      <c r="L342" s="139">
        <v>129.5</v>
      </c>
      <c r="M342" s="139">
        <v>129.5</v>
      </c>
      <c r="N342" s="139">
        <v>129.5</v>
      </c>
      <c r="O342" s="139">
        <v>160.69999999999999</v>
      </c>
      <c r="P342" s="139">
        <v>160.69999999999999</v>
      </c>
      <c r="Q342" s="139">
        <v>160.69999999999999</v>
      </c>
      <c r="R342" s="139">
        <v>160.69999999999999</v>
      </c>
      <c r="S342" s="139">
        <v>160.69999999999999</v>
      </c>
      <c r="T342" s="139">
        <v>186.3</v>
      </c>
      <c r="U342" s="774"/>
      <c r="V342" s="792"/>
      <c r="W342" s="792"/>
      <c r="X342" s="792"/>
      <c r="Y342" s="792"/>
    </row>
    <row r="343" spans="1:25" s="4" customFormat="1" ht="192" x14ac:dyDescent="0.3">
      <c r="A343" s="877"/>
      <c r="B343" s="865"/>
      <c r="C343" s="188" t="s">
        <v>698</v>
      </c>
      <c r="D343" s="193" t="s">
        <v>669</v>
      </c>
      <c r="E343" s="193">
        <v>2019</v>
      </c>
      <c r="F343" s="192" t="s">
        <v>699</v>
      </c>
      <c r="G343" s="187" t="s">
        <v>117</v>
      </c>
      <c r="H343" s="193"/>
      <c r="I343" s="96" t="s">
        <v>118</v>
      </c>
      <c r="J343" s="96"/>
      <c r="K343" s="96"/>
      <c r="L343" s="96"/>
      <c r="M343" s="96"/>
      <c r="N343" s="96"/>
      <c r="O343" s="96"/>
      <c r="P343" s="96"/>
      <c r="Q343" s="96"/>
      <c r="R343" s="96"/>
      <c r="S343" s="96"/>
      <c r="T343" s="96"/>
      <c r="U343" s="181">
        <v>0</v>
      </c>
      <c r="V343" s="180">
        <v>0</v>
      </c>
      <c r="W343" s="180">
        <v>0</v>
      </c>
      <c r="X343" s="180">
        <v>0</v>
      </c>
      <c r="Y343" s="180">
        <v>0</v>
      </c>
    </row>
    <row r="344" spans="1:25" s="4" customFormat="1" ht="72" x14ac:dyDescent="0.3">
      <c r="A344" s="877"/>
      <c r="B344" s="865"/>
      <c r="C344" s="188" t="s">
        <v>700</v>
      </c>
      <c r="D344" s="193" t="s">
        <v>669</v>
      </c>
      <c r="E344" s="193" t="s">
        <v>52</v>
      </c>
      <c r="F344" s="192" t="s">
        <v>685</v>
      </c>
      <c r="G344" s="187" t="s">
        <v>686</v>
      </c>
      <c r="H344" s="193"/>
      <c r="I344" s="187">
        <v>730</v>
      </c>
      <c r="J344" s="187">
        <v>735</v>
      </c>
      <c r="K344" s="187">
        <v>740</v>
      </c>
      <c r="L344" s="187">
        <v>750</v>
      </c>
      <c r="M344" s="187">
        <v>750</v>
      </c>
      <c r="N344" s="187">
        <v>750</v>
      </c>
      <c r="O344" s="187">
        <v>760</v>
      </c>
      <c r="P344" s="187">
        <v>760</v>
      </c>
      <c r="Q344" s="187">
        <v>760</v>
      </c>
      <c r="R344" s="187">
        <v>760</v>
      </c>
      <c r="S344" s="187">
        <v>760</v>
      </c>
      <c r="T344" s="187">
        <v>760</v>
      </c>
      <c r="U344" s="181">
        <v>0</v>
      </c>
      <c r="V344" s="180">
        <v>0</v>
      </c>
      <c r="W344" s="180">
        <v>0</v>
      </c>
      <c r="X344" s="180">
        <v>0</v>
      </c>
      <c r="Y344" s="180">
        <v>0</v>
      </c>
    </row>
    <row r="345" spans="1:25" s="4" customFormat="1" ht="149.25" customHeight="1" x14ac:dyDescent="0.3">
      <c r="A345" s="190" t="s">
        <v>694</v>
      </c>
      <c r="B345" s="54" t="s">
        <v>702</v>
      </c>
      <c r="C345" s="859" t="s">
        <v>703</v>
      </c>
      <c r="D345" s="193" t="s">
        <v>1132</v>
      </c>
      <c r="E345" s="193" t="s">
        <v>273</v>
      </c>
      <c r="F345" s="97" t="s">
        <v>704</v>
      </c>
      <c r="G345" s="187" t="s">
        <v>74</v>
      </c>
      <c r="H345" s="193"/>
      <c r="I345" s="76">
        <v>1021</v>
      </c>
      <c r="J345" s="76">
        <v>1100</v>
      </c>
      <c r="K345" s="193"/>
      <c r="L345" s="193"/>
      <c r="M345" s="193"/>
      <c r="N345" s="193"/>
      <c r="O345" s="193"/>
      <c r="P345" s="193"/>
      <c r="Q345" s="193"/>
      <c r="R345" s="193"/>
      <c r="S345" s="193"/>
      <c r="T345" s="193"/>
      <c r="U345" s="773">
        <v>520.79999999999995</v>
      </c>
      <c r="V345" s="791">
        <v>0</v>
      </c>
      <c r="W345" s="791">
        <v>520.79999999999995</v>
      </c>
      <c r="X345" s="791">
        <v>0</v>
      </c>
      <c r="Y345" s="791">
        <v>0</v>
      </c>
    </row>
    <row r="346" spans="1:25" s="4" customFormat="1" ht="146.25" customHeight="1" x14ac:dyDescent="0.3">
      <c r="A346" s="190" t="s">
        <v>701</v>
      </c>
      <c r="B346" s="54" t="s">
        <v>706</v>
      </c>
      <c r="C346" s="861"/>
      <c r="D346" s="193" t="s">
        <v>1132</v>
      </c>
      <c r="E346" s="193" t="s">
        <v>273</v>
      </c>
      <c r="F346" s="97" t="s">
        <v>707</v>
      </c>
      <c r="G346" s="187" t="s">
        <v>74</v>
      </c>
      <c r="H346" s="193"/>
      <c r="I346" s="76">
        <v>3</v>
      </c>
      <c r="J346" s="76">
        <v>5</v>
      </c>
      <c r="K346" s="193"/>
      <c r="L346" s="193"/>
      <c r="M346" s="193"/>
      <c r="N346" s="193"/>
      <c r="O346" s="193"/>
      <c r="P346" s="193"/>
      <c r="Q346" s="193"/>
      <c r="R346" s="193"/>
      <c r="S346" s="193"/>
      <c r="T346" s="193"/>
      <c r="U346" s="774"/>
      <c r="V346" s="792"/>
      <c r="W346" s="792"/>
      <c r="X346" s="792"/>
      <c r="Y346" s="792"/>
    </row>
    <row r="347" spans="1:25" s="4" customFormat="1" ht="144" x14ac:dyDescent="0.3">
      <c r="A347" s="190" t="s">
        <v>705</v>
      </c>
      <c r="B347" s="182" t="s">
        <v>708</v>
      </c>
      <c r="C347" s="188" t="s">
        <v>709</v>
      </c>
      <c r="D347" s="193" t="s">
        <v>98</v>
      </c>
      <c r="E347" s="193" t="s">
        <v>52</v>
      </c>
      <c r="F347" s="61" t="s">
        <v>1225</v>
      </c>
      <c r="G347" s="183" t="s">
        <v>117</v>
      </c>
      <c r="H347" s="50"/>
      <c r="I347" s="43" t="s">
        <v>118</v>
      </c>
      <c r="J347" s="43" t="s">
        <v>118</v>
      </c>
      <c r="K347" s="43" t="s">
        <v>118</v>
      </c>
      <c r="L347" s="43" t="s">
        <v>118</v>
      </c>
      <c r="M347" s="43" t="s">
        <v>118</v>
      </c>
      <c r="N347" s="43" t="s">
        <v>118</v>
      </c>
      <c r="O347" s="43" t="s">
        <v>118</v>
      </c>
      <c r="P347" s="43" t="s">
        <v>118</v>
      </c>
      <c r="Q347" s="43" t="s">
        <v>118</v>
      </c>
      <c r="R347" s="43" t="s">
        <v>118</v>
      </c>
      <c r="S347" s="43" t="s">
        <v>118</v>
      </c>
      <c r="T347" s="43" t="s">
        <v>118</v>
      </c>
      <c r="U347" s="181">
        <v>2340000</v>
      </c>
      <c r="V347" s="180">
        <v>0</v>
      </c>
      <c r="W347" s="180">
        <v>0</v>
      </c>
      <c r="X347" s="180">
        <v>0</v>
      </c>
      <c r="Y347" s="180">
        <v>2340000</v>
      </c>
    </row>
    <row r="348" spans="1:25" ht="24" x14ac:dyDescent="0.3">
      <c r="A348" s="66" t="s">
        <v>710</v>
      </c>
      <c r="B348" s="927" t="s">
        <v>711</v>
      </c>
      <c r="C348" s="927"/>
      <c r="D348" s="927"/>
      <c r="E348" s="927"/>
      <c r="F348" s="927"/>
      <c r="G348" s="927"/>
      <c r="H348" s="927"/>
      <c r="I348" s="927"/>
      <c r="J348" s="927"/>
      <c r="K348" s="927"/>
      <c r="L348" s="927"/>
      <c r="M348" s="927"/>
      <c r="N348" s="927"/>
      <c r="O348" s="927"/>
      <c r="P348" s="927"/>
      <c r="Q348" s="927"/>
      <c r="R348" s="927"/>
      <c r="S348" s="927"/>
      <c r="T348" s="927"/>
      <c r="U348" s="51"/>
      <c r="V348" s="52"/>
      <c r="W348" s="52"/>
      <c r="X348" s="52"/>
      <c r="Y348" s="52"/>
    </row>
    <row r="349" spans="1:25" s="4" customFormat="1" ht="240" x14ac:dyDescent="0.3">
      <c r="A349" s="195" t="s">
        <v>712</v>
      </c>
      <c r="B349" s="182" t="s">
        <v>713</v>
      </c>
      <c r="C349" s="188" t="s">
        <v>1364</v>
      </c>
      <c r="D349" s="148" t="s">
        <v>1133</v>
      </c>
      <c r="E349" s="50">
        <v>2019</v>
      </c>
      <c r="F349" s="192" t="s">
        <v>1018</v>
      </c>
      <c r="G349" s="50" t="s">
        <v>31</v>
      </c>
      <c r="H349" s="50"/>
      <c r="I349" s="50">
        <v>260</v>
      </c>
      <c r="J349" s="50"/>
      <c r="K349" s="50"/>
      <c r="L349" s="50"/>
      <c r="M349" s="50"/>
      <c r="N349" s="50">
        <v>260</v>
      </c>
      <c r="O349" s="50"/>
      <c r="P349" s="50"/>
      <c r="Q349" s="50"/>
      <c r="R349" s="50"/>
      <c r="S349" s="50">
        <v>260</v>
      </c>
      <c r="T349" s="50"/>
      <c r="U349" s="181">
        <v>3915</v>
      </c>
      <c r="V349" s="180">
        <v>0</v>
      </c>
      <c r="W349" s="180">
        <v>0</v>
      </c>
      <c r="X349" s="180">
        <v>0</v>
      </c>
      <c r="Y349" s="180">
        <v>3915</v>
      </c>
    </row>
    <row r="350" spans="1:25" s="4" customFormat="1" ht="120" x14ac:dyDescent="0.3">
      <c r="A350" s="195" t="s">
        <v>714</v>
      </c>
      <c r="B350" s="182" t="s">
        <v>715</v>
      </c>
      <c r="C350" s="182" t="s">
        <v>1365</v>
      </c>
      <c r="D350" s="148" t="s">
        <v>1133</v>
      </c>
      <c r="E350" s="193" t="s">
        <v>52</v>
      </c>
      <c r="F350" s="74" t="s">
        <v>831</v>
      </c>
      <c r="G350" s="50" t="s">
        <v>74</v>
      </c>
      <c r="H350" s="50"/>
      <c r="I350" s="43">
        <v>500</v>
      </c>
      <c r="J350" s="43">
        <v>500</v>
      </c>
      <c r="K350" s="43">
        <v>500</v>
      </c>
      <c r="L350" s="43">
        <v>500</v>
      </c>
      <c r="M350" s="43">
        <v>500</v>
      </c>
      <c r="N350" s="43">
        <v>500</v>
      </c>
      <c r="O350" s="43">
        <v>500</v>
      </c>
      <c r="P350" s="43">
        <v>500</v>
      </c>
      <c r="Q350" s="43">
        <v>500</v>
      </c>
      <c r="R350" s="43">
        <v>500</v>
      </c>
      <c r="S350" s="43">
        <v>500</v>
      </c>
      <c r="T350" s="43">
        <v>500</v>
      </c>
      <c r="U350" s="181">
        <v>6200</v>
      </c>
      <c r="V350" s="180">
        <v>0</v>
      </c>
      <c r="W350" s="180">
        <v>0</v>
      </c>
      <c r="X350" s="180">
        <v>0</v>
      </c>
      <c r="Y350" s="180">
        <v>6200</v>
      </c>
    </row>
    <row r="351" spans="1:25" s="4" customFormat="1" ht="72" x14ac:dyDescent="0.3">
      <c r="A351" s="195" t="s">
        <v>716</v>
      </c>
      <c r="B351" s="182" t="s">
        <v>717</v>
      </c>
      <c r="C351" s="182" t="s">
        <v>1006</v>
      </c>
      <c r="D351" s="148" t="s">
        <v>1133</v>
      </c>
      <c r="E351" s="43" t="s">
        <v>52</v>
      </c>
      <c r="F351" s="74" t="s">
        <v>1007</v>
      </c>
      <c r="G351" s="50" t="s">
        <v>74</v>
      </c>
      <c r="H351" s="50"/>
      <c r="I351" s="43">
        <v>200</v>
      </c>
      <c r="J351" s="43">
        <v>200</v>
      </c>
      <c r="K351" s="43">
        <v>200</v>
      </c>
      <c r="L351" s="43">
        <v>200</v>
      </c>
      <c r="M351" s="43">
        <v>200</v>
      </c>
      <c r="N351" s="43">
        <v>200</v>
      </c>
      <c r="O351" s="43">
        <v>200</v>
      </c>
      <c r="P351" s="43">
        <v>200</v>
      </c>
      <c r="Q351" s="43">
        <v>200</v>
      </c>
      <c r="R351" s="43">
        <v>200</v>
      </c>
      <c r="S351" s="43">
        <v>200</v>
      </c>
      <c r="T351" s="43">
        <v>200</v>
      </c>
      <c r="U351" s="181">
        <v>1000</v>
      </c>
      <c r="V351" s="180">
        <v>0</v>
      </c>
      <c r="W351" s="180">
        <v>0</v>
      </c>
      <c r="X351" s="180">
        <v>0</v>
      </c>
      <c r="Y351" s="180">
        <v>1000</v>
      </c>
    </row>
    <row r="352" spans="1:25" s="4" customFormat="1" ht="264" x14ac:dyDescent="0.3">
      <c r="A352" s="195" t="s">
        <v>718</v>
      </c>
      <c r="B352" s="182" t="s">
        <v>719</v>
      </c>
      <c r="C352" s="182" t="s">
        <v>720</v>
      </c>
      <c r="D352" s="148" t="s">
        <v>1133</v>
      </c>
      <c r="E352" s="50">
        <v>2019</v>
      </c>
      <c r="F352" s="74" t="s">
        <v>721</v>
      </c>
      <c r="G352" s="50" t="s">
        <v>117</v>
      </c>
      <c r="H352" s="50"/>
      <c r="I352" s="50" t="s">
        <v>118</v>
      </c>
      <c r="J352" s="50"/>
      <c r="K352" s="50"/>
      <c r="L352" s="50"/>
      <c r="M352" s="50"/>
      <c r="N352" s="50"/>
      <c r="O352" s="50"/>
      <c r="P352" s="50"/>
      <c r="Q352" s="50"/>
      <c r="R352" s="50"/>
      <c r="S352" s="50"/>
      <c r="T352" s="50"/>
      <c r="U352" s="181">
        <v>500</v>
      </c>
      <c r="V352" s="180">
        <v>0</v>
      </c>
      <c r="W352" s="180">
        <v>0</v>
      </c>
      <c r="X352" s="180">
        <v>0</v>
      </c>
      <c r="Y352" s="180">
        <v>500</v>
      </c>
    </row>
    <row r="353" spans="1:25" s="4" customFormat="1" ht="144" x14ac:dyDescent="0.3">
      <c r="A353" s="195" t="s">
        <v>722</v>
      </c>
      <c r="B353" s="182" t="s">
        <v>723</v>
      </c>
      <c r="C353" s="182" t="s">
        <v>724</v>
      </c>
      <c r="D353" s="193" t="s">
        <v>725</v>
      </c>
      <c r="E353" s="193" t="s">
        <v>726</v>
      </c>
      <c r="F353" s="74" t="s">
        <v>1431</v>
      </c>
      <c r="G353" s="211" t="s">
        <v>117</v>
      </c>
      <c r="H353" s="211"/>
      <c r="I353" s="211"/>
      <c r="J353" s="211"/>
      <c r="K353" s="211"/>
      <c r="L353" s="211" t="s">
        <v>118</v>
      </c>
      <c r="M353" s="50"/>
      <c r="N353" s="50"/>
      <c r="O353" s="50"/>
      <c r="P353" s="50"/>
      <c r="Q353" s="50"/>
      <c r="R353" s="50"/>
      <c r="S353" s="50"/>
      <c r="T353" s="50"/>
      <c r="U353" s="181">
        <v>0</v>
      </c>
      <c r="V353" s="180">
        <v>0</v>
      </c>
      <c r="W353" s="180">
        <v>0</v>
      </c>
      <c r="X353" s="180">
        <v>0</v>
      </c>
      <c r="Y353" s="180">
        <v>0</v>
      </c>
    </row>
    <row r="354" spans="1:25" s="4" customFormat="1" ht="120" x14ac:dyDescent="0.3">
      <c r="A354" s="195" t="s">
        <v>727</v>
      </c>
      <c r="B354" s="182" t="s">
        <v>728</v>
      </c>
      <c r="C354" s="182" t="s">
        <v>729</v>
      </c>
      <c r="D354" s="193" t="s">
        <v>730</v>
      </c>
      <c r="E354" s="193" t="s">
        <v>167</v>
      </c>
      <c r="F354" s="74" t="s">
        <v>1432</v>
      </c>
      <c r="G354" s="211" t="s">
        <v>117</v>
      </c>
      <c r="H354" s="211"/>
      <c r="I354" s="211"/>
      <c r="J354" s="211"/>
      <c r="K354" s="211"/>
      <c r="L354" s="211" t="s">
        <v>118</v>
      </c>
      <c r="M354" s="50"/>
      <c r="N354" s="50"/>
      <c r="O354" s="50"/>
      <c r="P354" s="50"/>
      <c r="Q354" s="50"/>
      <c r="R354" s="50"/>
      <c r="S354" s="50"/>
      <c r="T354" s="50"/>
      <c r="U354" s="181">
        <v>210000</v>
      </c>
      <c r="V354" s="180">
        <v>10000</v>
      </c>
      <c r="W354" s="180">
        <v>0</v>
      </c>
      <c r="X354" s="180">
        <v>0</v>
      </c>
      <c r="Y354" s="180">
        <v>200000</v>
      </c>
    </row>
    <row r="355" spans="1:25" s="4" customFormat="1" ht="217.5" customHeight="1" x14ac:dyDescent="0.3">
      <c r="A355" s="195" t="s">
        <v>731</v>
      </c>
      <c r="B355" s="182" t="s">
        <v>732</v>
      </c>
      <c r="C355" s="182" t="s">
        <v>733</v>
      </c>
      <c r="D355" s="193" t="s">
        <v>1409</v>
      </c>
      <c r="E355" s="193" t="s">
        <v>726</v>
      </c>
      <c r="F355" s="74" t="s">
        <v>1433</v>
      </c>
      <c r="G355" s="211" t="s">
        <v>117</v>
      </c>
      <c r="H355" s="211"/>
      <c r="I355" s="211"/>
      <c r="J355" s="211"/>
      <c r="K355" s="211"/>
      <c r="L355" s="211" t="s">
        <v>118</v>
      </c>
      <c r="M355" s="50"/>
      <c r="N355" s="50"/>
      <c r="O355" s="50"/>
      <c r="P355" s="50"/>
      <c r="Q355" s="50"/>
      <c r="R355" s="50"/>
      <c r="S355" s="50"/>
      <c r="T355" s="50"/>
      <c r="U355" s="181">
        <v>0</v>
      </c>
      <c r="V355" s="180">
        <v>0</v>
      </c>
      <c r="W355" s="180">
        <v>0</v>
      </c>
      <c r="X355" s="180">
        <v>0</v>
      </c>
      <c r="Y355" s="180">
        <v>0</v>
      </c>
    </row>
    <row r="356" spans="1:25" ht="24" x14ac:dyDescent="0.3">
      <c r="A356" s="66" t="s">
        <v>734</v>
      </c>
      <c r="B356" s="928" t="s">
        <v>735</v>
      </c>
      <c r="C356" s="929"/>
      <c r="D356" s="929"/>
      <c r="E356" s="929"/>
      <c r="F356" s="929"/>
      <c r="G356" s="929"/>
      <c r="H356" s="929"/>
      <c r="I356" s="929"/>
      <c r="J356" s="929"/>
      <c r="K356" s="929"/>
      <c r="L356" s="929"/>
      <c r="M356" s="929"/>
      <c r="N356" s="929"/>
      <c r="O356" s="929"/>
      <c r="P356" s="929"/>
      <c r="Q356" s="929"/>
      <c r="R356" s="929"/>
      <c r="S356" s="929"/>
      <c r="T356" s="929"/>
      <c r="U356" s="51"/>
      <c r="V356" s="52"/>
      <c r="W356" s="52"/>
      <c r="X356" s="52"/>
      <c r="Y356" s="52"/>
    </row>
    <row r="357" spans="1:25" s="4" customFormat="1" ht="144" x14ac:dyDescent="0.3">
      <c r="A357" s="190" t="s">
        <v>736</v>
      </c>
      <c r="B357" s="182" t="s">
        <v>737</v>
      </c>
      <c r="C357" s="182" t="s">
        <v>1410</v>
      </c>
      <c r="D357" s="193" t="s">
        <v>738</v>
      </c>
      <c r="E357" s="193" t="s">
        <v>739</v>
      </c>
      <c r="F357" s="74" t="s">
        <v>1108</v>
      </c>
      <c r="G357" s="193" t="s">
        <v>1109</v>
      </c>
      <c r="H357" s="193"/>
      <c r="I357" s="193"/>
      <c r="J357" s="193"/>
      <c r="K357" s="193"/>
      <c r="L357" s="193">
        <v>2440</v>
      </c>
      <c r="M357" s="193">
        <v>2440</v>
      </c>
      <c r="N357" s="193">
        <v>2440</v>
      </c>
      <c r="O357" s="193">
        <v>2440</v>
      </c>
      <c r="P357" s="193">
        <v>2440</v>
      </c>
      <c r="Q357" s="193">
        <v>2440</v>
      </c>
      <c r="R357" s="193">
        <v>2440</v>
      </c>
      <c r="S357" s="193">
        <v>2440</v>
      </c>
      <c r="T357" s="193">
        <v>2440</v>
      </c>
      <c r="U357" s="181">
        <v>3329260</v>
      </c>
      <c r="V357" s="180">
        <v>0</v>
      </c>
      <c r="W357" s="180">
        <v>28610</v>
      </c>
      <c r="X357" s="180">
        <v>543510</v>
      </c>
      <c r="Y357" s="180">
        <v>2757140</v>
      </c>
    </row>
    <row r="358" spans="1:25" s="4" customFormat="1" ht="105" customHeight="1" x14ac:dyDescent="0.3">
      <c r="A358" s="190" t="s">
        <v>740</v>
      </c>
      <c r="B358" s="182" t="s">
        <v>741</v>
      </c>
      <c r="C358" s="182" t="s">
        <v>742</v>
      </c>
      <c r="D358" s="193" t="s">
        <v>743</v>
      </c>
      <c r="E358" s="193" t="s">
        <v>143</v>
      </c>
      <c r="F358" s="98" t="s">
        <v>847</v>
      </c>
      <c r="G358" s="43" t="s">
        <v>994</v>
      </c>
      <c r="H358" s="50"/>
      <c r="I358" s="43"/>
      <c r="J358" s="43">
        <v>1.2</v>
      </c>
      <c r="K358" s="43">
        <v>1.2</v>
      </c>
      <c r="L358" s="43">
        <v>1.2</v>
      </c>
      <c r="M358" s="43">
        <v>1.2</v>
      </c>
      <c r="N358" s="43">
        <v>1.2</v>
      </c>
      <c r="O358" s="43">
        <v>1.2</v>
      </c>
      <c r="P358" s="43">
        <v>1.2</v>
      </c>
      <c r="Q358" s="43">
        <v>1.2</v>
      </c>
      <c r="R358" s="43">
        <v>1.2</v>
      </c>
      <c r="S358" s="43">
        <v>1.2</v>
      </c>
      <c r="T358" s="43">
        <v>1.2</v>
      </c>
      <c r="U358" s="181">
        <v>94000</v>
      </c>
      <c r="V358" s="180">
        <v>0</v>
      </c>
      <c r="W358" s="180">
        <v>0</v>
      </c>
      <c r="X358" s="180">
        <v>0</v>
      </c>
      <c r="Y358" s="180">
        <v>94000</v>
      </c>
    </row>
    <row r="359" spans="1:25" ht="24" x14ac:dyDescent="0.3">
      <c r="A359" s="66" t="s">
        <v>744</v>
      </c>
      <c r="B359" s="927" t="s">
        <v>745</v>
      </c>
      <c r="C359" s="927"/>
      <c r="D359" s="927"/>
      <c r="E359" s="927"/>
      <c r="F359" s="927"/>
      <c r="G359" s="927"/>
      <c r="H359" s="927"/>
      <c r="I359" s="927"/>
      <c r="J359" s="927"/>
      <c r="K359" s="927"/>
      <c r="L359" s="927"/>
      <c r="M359" s="927"/>
      <c r="N359" s="927"/>
      <c r="O359" s="927"/>
      <c r="P359" s="927"/>
      <c r="Q359" s="927"/>
      <c r="R359" s="927"/>
      <c r="S359" s="927"/>
      <c r="T359" s="927"/>
      <c r="U359" s="51"/>
      <c r="V359" s="52"/>
      <c r="W359" s="52"/>
      <c r="X359" s="52"/>
      <c r="Y359" s="52"/>
    </row>
    <row r="360" spans="1:25" s="4" customFormat="1" ht="168" x14ac:dyDescent="0.3">
      <c r="A360" s="190" t="s">
        <v>746</v>
      </c>
      <c r="B360" s="182" t="s">
        <v>748</v>
      </c>
      <c r="C360" s="182" t="s">
        <v>1366</v>
      </c>
      <c r="D360" s="193" t="s">
        <v>98</v>
      </c>
      <c r="E360" s="193" t="s">
        <v>52</v>
      </c>
      <c r="F360" s="74" t="s">
        <v>749</v>
      </c>
      <c r="G360" s="50" t="s">
        <v>117</v>
      </c>
      <c r="H360" s="193"/>
      <c r="I360" s="193" t="s">
        <v>118</v>
      </c>
      <c r="J360" s="193" t="s">
        <v>118</v>
      </c>
      <c r="K360" s="193" t="s">
        <v>118</v>
      </c>
      <c r="L360" s="193" t="s">
        <v>118</v>
      </c>
      <c r="M360" s="193" t="s">
        <v>118</v>
      </c>
      <c r="N360" s="193" t="s">
        <v>118</v>
      </c>
      <c r="O360" s="193" t="s">
        <v>118</v>
      </c>
      <c r="P360" s="193" t="s">
        <v>118</v>
      </c>
      <c r="Q360" s="193" t="s">
        <v>118</v>
      </c>
      <c r="R360" s="193" t="s">
        <v>118</v>
      </c>
      <c r="S360" s="193" t="s">
        <v>118</v>
      </c>
      <c r="T360" s="193" t="s">
        <v>118</v>
      </c>
      <c r="U360" s="181">
        <v>1200000</v>
      </c>
      <c r="V360" s="180">
        <v>0</v>
      </c>
      <c r="W360" s="180">
        <v>0</v>
      </c>
      <c r="X360" s="180">
        <v>0</v>
      </c>
      <c r="Y360" s="180">
        <v>1200000</v>
      </c>
    </row>
    <row r="361" spans="1:25" s="4" customFormat="1" ht="216" x14ac:dyDescent="0.3">
      <c r="A361" s="190" t="s">
        <v>747</v>
      </c>
      <c r="B361" s="182" t="s">
        <v>751</v>
      </c>
      <c r="C361" s="182" t="s">
        <v>1367</v>
      </c>
      <c r="D361" s="193" t="s">
        <v>98</v>
      </c>
      <c r="E361" s="193" t="s">
        <v>52</v>
      </c>
      <c r="F361" s="74" t="s">
        <v>752</v>
      </c>
      <c r="G361" s="50" t="s">
        <v>117</v>
      </c>
      <c r="H361" s="193"/>
      <c r="I361" s="193" t="s">
        <v>118</v>
      </c>
      <c r="J361" s="193" t="s">
        <v>118</v>
      </c>
      <c r="K361" s="193" t="s">
        <v>118</v>
      </c>
      <c r="L361" s="193" t="s">
        <v>118</v>
      </c>
      <c r="M361" s="193" t="s">
        <v>118</v>
      </c>
      <c r="N361" s="193" t="s">
        <v>118</v>
      </c>
      <c r="O361" s="193" t="s">
        <v>118</v>
      </c>
      <c r="P361" s="193" t="s">
        <v>118</v>
      </c>
      <c r="Q361" s="193" t="s">
        <v>118</v>
      </c>
      <c r="R361" s="193" t="s">
        <v>118</v>
      </c>
      <c r="S361" s="193" t="s">
        <v>118</v>
      </c>
      <c r="T361" s="193" t="s">
        <v>118</v>
      </c>
      <c r="U361" s="181">
        <v>120000</v>
      </c>
      <c r="V361" s="180">
        <v>0</v>
      </c>
      <c r="W361" s="180">
        <v>0</v>
      </c>
      <c r="X361" s="180">
        <v>0</v>
      </c>
      <c r="Y361" s="180">
        <v>120000</v>
      </c>
    </row>
    <row r="362" spans="1:25" s="4" customFormat="1" ht="238.5" customHeight="1" x14ac:dyDescent="0.3">
      <c r="A362" s="862" t="s">
        <v>750</v>
      </c>
      <c r="B362" s="839" t="s">
        <v>753</v>
      </c>
      <c r="C362" s="182" t="s">
        <v>1368</v>
      </c>
      <c r="D362" s="148" t="s">
        <v>98</v>
      </c>
      <c r="E362" s="714" t="s">
        <v>52</v>
      </c>
      <c r="F362" s="74" t="s">
        <v>754</v>
      </c>
      <c r="G362" s="50" t="s">
        <v>117</v>
      </c>
      <c r="H362" s="193"/>
      <c r="I362" s="193" t="s">
        <v>118</v>
      </c>
      <c r="J362" s="193" t="s">
        <v>118</v>
      </c>
      <c r="K362" s="193" t="s">
        <v>118</v>
      </c>
      <c r="L362" s="193" t="s">
        <v>118</v>
      </c>
      <c r="M362" s="193" t="s">
        <v>118</v>
      </c>
      <c r="N362" s="193" t="s">
        <v>118</v>
      </c>
      <c r="O362" s="193" t="s">
        <v>118</v>
      </c>
      <c r="P362" s="193" t="s">
        <v>118</v>
      </c>
      <c r="Q362" s="193" t="s">
        <v>118</v>
      </c>
      <c r="R362" s="193" t="s">
        <v>118</v>
      </c>
      <c r="S362" s="193" t="s">
        <v>118</v>
      </c>
      <c r="T362" s="193" t="s">
        <v>118</v>
      </c>
      <c r="U362" s="181">
        <v>0</v>
      </c>
      <c r="V362" s="180">
        <v>0</v>
      </c>
      <c r="W362" s="180">
        <v>0</v>
      </c>
      <c r="X362" s="180">
        <v>0</v>
      </c>
      <c r="Y362" s="180">
        <v>0</v>
      </c>
    </row>
    <row r="363" spans="1:25" s="4" customFormat="1" ht="183.75" customHeight="1" x14ac:dyDescent="0.3">
      <c r="A363" s="863"/>
      <c r="B363" s="840"/>
      <c r="C363" s="182" t="s">
        <v>1369</v>
      </c>
      <c r="D363" s="148" t="s">
        <v>98</v>
      </c>
      <c r="E363" s="715"/>
      <c r="F363" s="74" t="s">
        <v>755</v>
      </c>
      <c r="G363" s="50" t="s">
        <v>117</v>
      </c>
      <c r="H363" s="193"/>
      <c r="I363" s="193" t="s">
        <v>118</v>
      </c>
      <c r="J363" s="193" t="s">
        <v>118</v>
      </c>
      <c r="K363" s="193" t="s">
        <v>118</v>
      </c>
      <c r="L363" s="193" t="s">
        <v>118</v>
      </c>
      <c r="M363" s="193" t="s">
        <v>118</v>
      </c>
      <c r="N363" s="193" t="s">
        <v>118</v>
      </c>
      <c r="O363" s="193" t="s">
        <v>118</v>
      </c>
      <c r="P363" s="193" t="s">
        <v>118</v>
      </c>
      <c r="Q363" s="193" t="s">
        <v>118</v>
      </c>
      <c r="R363" s="193" t="s">
        <v>118</v>
      </c>
      <c r="S363" s="193" t="s">
        <v>118</v>
      </c>
      <c r="T363" s="193" t="s">
        <v>118</v>
      </c>
      <c r="U363" s="181">
        <v>0</v>
      </c>
      <c r="V363" s="180">
        <v>0</v>
      </c>
      <c r="W363" s="180">
        <v>0</v>
      </c>
      <c r="X363" s="180">
        <v>0</v>
      </c>
      <c r="Y363" s="180">
        <v>0</v>
      </c>
    </row>
    <row r="364" spans="1:25" ht="24" x14ac:dyDescent="0.3">
      <c r="A364" s="66" t="s">
        <v>756</v>
      </c>
      <c r="B364" s="927" t="s">
        <v>757</v>
      </c>
      <c r="C364" s="927"/>
      <c r="D364" s="927"/>
      <c r="E364" s="927"/>
      <c r="F364" s="927"/>
      <c r="G364" s="927"/>
      <c r="H364" s="927"/>
      <c r="I364" s="927"/>
      <c r="J364" s="927"/>
      <c r="K364" s="927"/>
      <c r="L364" s="927"/>
      <c r="M364" s="927"/>
      <c r="N364" s="927"/>
      <c r="O364" s="927"/>
      <c r="P364" s="927"/>
      <c r="Q364" s="927"/>
      <c r="R364" s="927"/>
      <c r="S364" s="927"/>
      <c r="T364" s="927"/>
      <c r="U364" s="51"/>
      <c r="V364" s="52"/>
      <c r="W364" s="52"/>
      <c r="X364" s="52"/>
      <c r="Y364" s="52"/>
    </row>
    <row r="365" spans="1:25" s="4" customFormat="1" ht="61.5" customHeight="1" x14ac:dyDescent="0.3">
      <c r="A365" s="195" t="s">
        <v>758</v>
      </c>
      <c r="B365" s="182" t="s">
        <v>1166</v>
      </c>
      <c r="C365" s="182" t="s">
        <v>1380</v>
      </c>
      <c r="D365" s="148" t="s">
        <v>1158</v>
      </c>
      <c r="E365" s="50">
        <v>2019</v>
      </c>
      <c r="F365" s="74" t="s">
        <v>1240</v>
      </c>
      <c r="G365" s="50" t="s">
        <v>117</v>
      </c>
      <c r="H365" s="50"/>
      <c r="I365" s="50" t="s">
        <v>118</v>
      </c>
      <c r="J365" s="50"/>
      <c r="K365" s="50"/>
      <c r="L365" s="50"/>
      <c r="M365" s="50"/>
      <c r="N365" s="50"/>
      <c r="O365" s="50"/>
      <c r="P365" s="50"/>
      <c r="Q365" s="50"/>
      <c r="R365" s="50"/>
      <c r="S365" s="50"/>
      <c r="T365" s="50"/>
      <c r="U365" s="181">
        <v>231183.69999999995</v>
      </c>
      <c r="V365" s="180">
        <v>48187.600000000006</v>
      </c>
      <c r="W365" s="180">
        <v>0</v>
      </c>
      <c r="X365" s="180">
        <v>0</v>
      </c>
      <c r="Y365" s="180">
        <v>0</v>
      </c>
    </row>
    <row r="366" spans="1:25" s="4" customFormat="1" ht="256.5" customHeight="1" x14ac:dyDescent="0.3">
      <c r="A366" s="151" t="s">
        <v>760</v>
      </c>
      <c r="B366" s="175" t="s">
        <v>759</v>
      </c>
      <c r="C366" s="175" t="s">
        <v>860</v>
      </c>
      <c r="D366" s="148" t="s">
        <v>1145</v>
      </c>
      <c r="E366" s="146" t="s">
        <v>418</v>
      </c>
      <c r="F366" s="61" t="s">
        <v>1229</v>
      </c>
      <c r="G366" s="50" t="s">
        <v>117</v>
      </c>
      <c r="H366" s="50"/>
      <c r="I366" s="50"/>
      <c r="J366" s="50"/>
      <c r="K366" s="50"/>
      <c r="L366" s="50"/>
      <c r="M366" s="50"/>
      <c r="N366" s="50"/>
      <c r="O366" s="50"/>
      <c r="P366" s="50"/>
      <c r="Q366" s="50"/>
      <c r="R366" s="50"/>
      <c r="S366" s="50"/>
      <c r="T366" s="50" t="s">
        <v>118</v>
      </c>
      <c r="U366" s="157">
        <v>0</v>
      </c>
      <c r="V366" s="144">
        <v>0</v>
      </c>
      <c r="W366" s="144">
        <v>0</v>
      </c>
      <c r="X366" s="144">
        <v>0</v>
      </c>
      <c r="Y366" s="144">
        <v>0</v>
      </c>
    </row>
    <row r="367" spans="1:25" s="4" customFormat="1" ht="78" customHeight="1" x14ac:dyDescent="0.3">
      <c r="A367" s="844" t="s">
        <v>1370</v>
      </c>
      <c r="B367" s="777" t="s">
        <v>861</v>
      </c>
      <c r="C367" s="777" t="s">
        <v>862</v>
      </c>
      <c r="D367" s="714" t="s">
        <v>1158</v>
      </c>
      <c r="E367" s="716" t="s">
        <v>273</v>
      </c>
      <c r="F367" s="61" t="s">
        <v>1230</v>
      </c>
      <c r="G367" s="50" t="s">
        <v>117</v>
      </c>
      <c r="H367" s="50"/>
      <c r="I367" s="126"/>
      <c r="J367" s="126" t="s">
        <v>118</v>
      </c>
      <c r="K367" s="126"/>
      <c r="L367" s="126"/>
      <c r="M367" s="126"/>
      <c r="N367" s="126"/>
      <c r="O367" s="126"/>
      <c r="P367" s="126"/>
      <c r="Q367" s="126"/>
      <c r="R367" s="126"/>
      <c r="S367" s="126"/>
      <c r="T367" s="126"/>
      <c r="U367" s="157">
        <v>0</v>
      </c>
      <c r="V367" s="144">
        <v>0</v>
      </c>
      <c r="W367" s="144">
        <v>0</v>
      </c>
      <c r="X367" s="144">
        <v>0</v>
      </c>
      <c r="Y367" s="144">
        <v>0</v>
      </c>
    </row>
    <row r="368" spans="1:25" s="4" customFormat="1" ht="78" customHeight="1" x14ac:dyDescent="0.3">
      <c r="A368" s="845"/>
      <c r="B368" s="778"/>
      <c r="C368" s="778"/>
      <c r="D368" s="715"/>
      <c r="E368" s="717"/>
      <c r="F368" s="61" t="s">
        <v>1169</v>
      </c>
      <c r="G368" s="50" t="s">
        <v>74</v>
      </c>
      <c r="H368" s="50"/>
      <c r="I368" s="126">
        <v>20000</v>
      </c>
      <c r="J368" s="126">
        <f>43540-I368</f>
        <v>23540</v>
      </c>
      <c r="K368" s="126">
        <f>70620-J368-I368</f>
        <v>27080</v>
      </c>
      <c r="L368" s="126">
        <f>101240-K368-J368-I368</f>
        <v>30620</v>
      </c>
      <c r="M368" s="126">
        <f>135400-L368-K368-J368-I368</f>
        <v>34160</v>
      </c>
      <c r="N368" s="126">
        <f>173100-M368-L368-K368-J368-I368</f>
        <v>37700</v>
      </c>
      <c r="O368" s="126">
        <f>214340-N368-M368-L368-K368-J368-I368</f>
        <v>41240</v>
      </c>
      <c r="P368" s="126">
        <v>44700</v>
      </c>
      <c r="Q368" s="126">
        <v>51600</v>
      </c>
      <c r="R368" s="126">
        <v>55000</v>
      </c>
      <c r="S368" s="126">
        <v>58000</v>
      </c>
      <c r="T368" s="126">
        <v>60600</v>
      </c>
      <c r="U368" s="157"/>
      <c r="V368" s="144"/>
      <c r="W368" s="144"/>
      <c r="X368" s="144"/>
      <c r="Y368" s="144"/>
    </row>
    <row r="369" spans="1:25" s="4" customFormat="1" ht="144" x14ac:dyDescent="0.3">
      <c r="A369" s="195" t="s">
        <v>763</v>
      </c>
      <c r="B369" s="182" t="s">
        <v>1216</v>
      </c>
      <c r="C369" s="188" t="s">
        <v>1440</v>
      </c>
      <c r="D369" s="148" t="s">
        <v>1221</v>
      </c>
      <c r="E369" s="50" t="s">
        <v>143</v>
      </c>
      <c r="F369" s="74" t="s">
        <v>1217</v>
      </c>
      <c r="G369" s="50" t="s">
        <v>74</v>
      </c>
      <c r="H369" s="50"/>
      <c r="I369" s="50"/>
      <c r="J369" s="126">
        <v>10000</v>
      </c>
      <c r="K369" s="100">
        <v>20000</v>
      </c>
      <c r="L369" s="100">
        <v>20000</v>
      </c>
      <c r="M369" s="100">
        <v>20000</v>
      </c>
      <c r="N369" s="100">
        <v>20000</v>
      </c>
      <c r="O369" s="100">
        <v>20000</v>
      </c>
      <c r="P369" s="100">
        <v>20000</v>
      </c>
      <c r="Q369" s="100">
        <v>20000</v>
      </c>
      <c r="R369" s="100">
        <v>20000</v>
      </c>
      <c r="S369" s="100">
        <v>20000</v>
      </c>
      <c r="T369" s="100">
        <v>20000</v>
      </c>
      <c r="U369" s="181">
        <v>41800</v>
      </c>
      <c r="V369" s="180">
        <v>0</v>
      </c>
      <c r="W369" s="180">
        <v>0</v>
      </c>
      <c r="X369" s="180">
        <v>0</v>
      </c>
      <c r="Y369" s="180">
        <v>41800</v>
      </c>
    </row>
    <row r="370" spans="1:25" s="4" customFormat="1" ht="168" x14ac:dyDescent="0.3">
      <c r="A370" s="195" t="s">
        <v>765</v>
      </c>
      <c r="B370" s="182" t="s">
        <v>761</v>
      </c>
      <c r="C370" s="182" t="s">
        <v>859</v>
      </c>
      <c r="D370" s="193" t="s">
        <v>762</v>
      </c>
      <c r="E370" s="50" t="s">
        <v>203</v>
      </c>
      <c r="F370" s="74" t="s">
        <v>1231</v>
      </c>
      <c r="G370" s="50" t="s">
        <v>31</v>
      </c>
      <c r="H370" s="50"/>
      <c r="I370" s="50"/>
      <c r="J370" s="50">
        <v>152</v>
      </c>
      <c r="K370" s="50">
        <v>152</v>
      </c>
      <c r="L370" s="50">
        <v>152</v>
      </c>
      <c r="M370" s="50">
        <v>152</v>
      </c>
      <c r="N370" s="50">
        <v>152</v>
      </c>
      <c r="O370" s="50">
        <v>152</v>
      </c>
      <c r="P370" s="50">
        <v>152</v>
      </c>
      <c r="Q370" s="50">
        <v>152</v>
      </c>
      <c r="R370" s="50">
        <v>152</v>
      </c>
      <c r="S370" s="50">
        <v>152</v>
      </c>
      <c r="T370" s="50">
        <v>152</v>
      </c>
      <c r="U370" s="181">
        <v>628506.67200000002</v>
      </c>
      <c r="V370" s="180">
        <v>0</v>
      </c>
      <c r="W370" s="180">
        <v>0</v>
      </c>
      <c r="X370" s="180">
        <v>0</v>
      </c>
      <c r="Y370" s="180">
        <v>628506.67200000002</v>
      </c>
    </row>
    <row r="371" spans="1:25" s="4" customFormat="1" ht="120" x14ac:dyDescent="0.3">
      <c r="A371" s="195" t="s">
        <v>768</v>
      </c>
      <c r="B371" s="182" t="s">
        <v>764</v>
      </c>
      <c r="C371" s="182" t="s">
        <v>1220</v>
      </c>
      <c r="D371" s="193" t="s">
        <v>1149</v>
      </c>
      <c r="E371" s="50" t="s">
        <v>143</v>
      </c>
      <c r="F371" s="74" t="s">
        <v>1231</v>
      </c>
      <c r="G371" s="50" t="s">
        <v>31</v>
      </c>
      <c r="H371" s="50"/>
      <c r="I371" s="50"/>
      <c r="J371" s="50">
        <v>82</v>
      </c>
      <c r="K371" s="50">
        <v>82</v>
      </c>
      <c r="L371" s="50">
        <v>82</v>
      </c>
      <c r="M371" s="50">
        <v>82</v>
      </c>
      <c r="N371" s="50">
        <v>82</v>
      </c>
      <c r="O371" s="50">
        <v>82</v>
      </c>
      <c r="P371" s="50">
        <v>82</v>
      </c>
      <c r="Q371" s="50">
        <v>82</v>
      </c>
      <c r="R371" s="50">
        <v>82</v>
      </c>
      <c r="S371" s="50">
        <v>82</v>
      </c>
      <c r="T371" s="50">
        <v>82</v>
      </c>
      <c r="U371" s="181">
        <v>115000</v>
      </c>
      <c r="V371" s="180">
        <v>0</v>
      </c>
      <c r="W371" s="180">
        <v>0</v>
      </c>
      <c r="X371" s="180">
        <v>0</v>
      </c>
      <c r="Y371" s="180">
        <v>115000</v>
      </c>
    </row>
    <row r="372" spans="1:25" s="4" customFormat="1" ht="240" x14ac:dyDescent="0.3">
      <c r="A372" s="195" t="s">
        <v>769</v>
      </c>
      <c r="B372" s="182" t="s">
        <v>766</v>
      </c>
      <c r="C372" s="182" t="s">
        <v>1381</v>
      </c>
      <c r="D372" s="148" t="s">
        <v>1153</v>
      </c>
      <c r="E372" s="50">
        <v>2019</v>
      </c>
      <c r="F372" s="74" t="s">
        <v>767</v>
      </c>
      <c r="G372" s="50" t="s">
        <v>117</v>
      </c>
      <c r="H372" s="50"/>
      <c r="I372" s="50" t="s">
        <v>118</v>
      </c>
      <c r="J372" s="50"/>
      <c r="K372" s="50"/>
      <c r="L372" s="50"/>
      <c r="M372" s="50"/>
      <c r="N372" s="50"/>
      <c r="O372" s="50"/>
      <c r="P372" s="50"/>
      <c r="Q372" s="50"/>
      <c r="R372" s="50"/>
      <c r="S372" s="50"/>
      <c r="T372" s="50"/>
      <c r="U372" s="181">
        <v>4000</v>
      </c>
      <c r="V372" s="180">
        <v>0</v>
      </c>
      <c r="W372" s="180">
        <v>0</v>
      </c>
      <c r="X372" s="180">
        <v>0</v>
      </c>
      <c r="Y372" s="180">
        <v>4000</v>
      </c>
    </row>
    <row r="373" spans="1:25" s="4" customFormat="1" ht="176.25" customHeight="1" x14ac:dyDescent="0.3">
      <c r="A373" s="195" t="s">
        <v>770</v>
      </c>
      <c r="B373" s="182" t="s">
        <v>771</v>
      </c>
      <c r="C373" s="182" t="s">
        <v>772</v>
      </c>
      <c r="D373" s="148" t="s">
        <v>1157</v>
      </c>
      <c r="E373" s="50">
        <v>2019</v>
      </c>
      <c r="F373" s="74" t="s">
        <v>773</v>
      </c>
      <c r="G373" s="50" t="s">
        <v>117</v>
      </c>
      <c r="H373" s="50"/>
      <c r="I373" s="50" t="s">
        <v>118</v>
      </c>
      <c r="J373" s="50"/>
      <c r="K373" s="50"/>
      <c r="L373" s="50"/>
      <c r="M373" s="50"/>
      <c r="N373" s="50"/>
      <c r="O373" s="50"/>
      <c r="P373" s="50"/>
      <c r="Q373" s="50"/>
      <c r="R373" s="50"/>
      <c r="S373" s="50"/>
      <c r="T373" s="50"/>
      <c r="U373" s="181">
        <v>2500</v>
      </c>
      <c r="V373" s="180">
        <v>0</v>
      </c>
      <c r="W373" s="180">
        <v>0</v>
      </c>
      <c r="X373" s="180">
        <v>0</v>
      </c>
      <c r="Y373" s="180">
        <v>2500</v>
      </c>
    </row>
    <row r="374" spans="1:25" s="4" customFormat="1" ht="138.75" customHeight="1" x14ac:dyDescent="0.3">
      <c r="A374" s="195" t="s">
        <v>1371</v>
      </c>
      <c r="B374" s="182" t="s">
        <v>1152</v>
      </c>
      <c r="C374" s="182" t="s">
        <v>1206</v>
      </c>
      <c r="D374" s="148" t="s">
        <v>1157</v>
      </c>
      <c r="E374" s="50">
        <v>2019</v>
      </c>
      <c r="F374" s="74" t="s">
        <v>1130</v>
      </c>
      <c r="G374" s="50" t="s">
        <v>31</v>
      </c>
      <c r="H374" s="50"/>
      <c r="I374" s="50">
        <v>2</v>
      </c>
      <c r="J374" s="50"/>
      <c r="K374" s="50"/>
      <c r="L374" s="50"/>
      <c r="M374" s="50"/>
      <c r="N374" s="50"/>
      <c r="O374" s="50"/>
      <c r="P374" s="50"/>
      <c r="Q374" s="50"/>
      <c r="R374" s="50"/>
      <c r="S374" s="50"/>
      <c r="T374" s="50"/>
      <c r="U374" s="181">
        <v>40000</v>
      </c>
      <c r="V374" s="180">
        <v>0</v>
      </c>
      <c r="W374" s="180">
        <v>0</v>
      </c>
      <c r="X374" s="180">
        <v>0</v>
      </c>
      <c r="Y374" s="180">
        <v>40000</v>
      </c>
    </row>
    <row r="375" spans="1:25" s="4" customFormat="1" ht="138" customHeight="1" x14ac:dyDescent="0.3">
      <c r="A375" s="758" t="s">
        <v>774</v>
      </c>
      <c r="B375" s="843" t="s">
        <v>1156</v>
      </c>
      <c r="C375" s="866" t="s">
        <v>1382</v>
      </c>
      <c r="D375" s="714" t="s">
        <v>1157</v>
      </c>
      <c r="E375" s="716">
        <v>2019</v>
      </c>
      <c r="F375" s="61" t="s">
        <v>775</v>
      </c>
      <c r="G375" s="50" t="s">
        <v>62</v>
      </c>
      <c r="H375" s="50"/>
      <c r="I375" s="50">
        <v>20</v>
      </c>
      <c r="J375" s="50">
        <v>25</v>
      </c>
      <c r="K375" s="50">
        <v>30</v>
      </c>
      <c r="L375" s="50">
        <v>35</v>
      </c>
      <c r="M375" s="50">
        <v>40</v>
      </c>
      <c r="N375" s="50">
        <v>45</v>
      </c>
      <c r="O375" s="50">
        <v>50</v>
      </c>
      <c r="P375" s="50">
        <v>55</v>
      </c>
      <c r="Q375" s="50">
        <v>60</v>
      </c>
      <c r="R375" s="50">
        <v>65</v>
      </c>
      <c r="S375" s="50">
        <v>70</v>
      </c>
      <c r="T375" s="50">
        <v>75</v>
      </c>
      <c r="U375" s="773">
        <v>7500</v>
      </c>
      <c r="V375" s="791">
        <v>0</v>
      </c>
      <c r="W375" s="791">
        <v>0</v>
      </c>
      <c r="X375" s="791">
        <v>0</v>
      </c>
      <c r="Y375" s="791">
        <v>7500</v>
      </c>
    </row>
    <row r="376" spans="1:25" s="4" customFormat="1" ht="97.5" customHeight="1" x14ac:dyDescent="0.3">
      <c r="A376" s="758"/>
      <c r="B376" s="843"/>
      <c r="C376" s="866"/>
      <c r="D376" s="715"/>
      <c r="E376" s="717"/>
      <c r="F376" s="61" t="s">
        <v>776</v>
      </c>
      <c r="G376" s="50" t="s">
        <v>62</v>
      </c>
      <c r="H376" s="50"/>
      <c r="I376" s="50">
        <v>15</v>
      </c>
      <c r="J376" s="50">
        <f>J375/4*3</f>
        <v>18.75</v>
      </c>
      <c r="K376" s="50">
        <f t="shared" ref="K376:S376" si="5">K375/4*3</f>
        <v>22.5</v>
      </c>
      <c r="L376" s="50">
        <f t="shared" si="5"/>
        <v>26.25</v>
      </c>
      <c r="M376" s="50">
        <f t="shared" si="5"/>
        <v>30</v>
      </c>
      <c r="N376" s="50">
        <f t="shared" si="5"/>
        <v>33.75</v>
      </c>
      <c r="O376" s="50">
        <f t="shared" si="5"/>
        <v>37.5</v>
      </c>
      <c r="P376" s="50">
        <f t="shared" si="5"/>
        <v>41.25</v>
      </c>
      <c r="Q376" s="50">
        <f t="shared" si="5"/>
        <v>45</v>
      </c>
      <c r="R376" s="50">
        <f t="shared" si="5"/>
        <v>48.75</v>
      </c>
      <c r="S376" s="50">
        <f t="shared" si="5"/>
        <v>52.5</v>
      </c>
      <c r="T376" s="50">
        <f>T375/4*3</f>
        <v>56.25</v>
      </c>
      <c r="U376" s="774"/>
      <c r="V376" s="792"/>
      <c r="W376" s="792"/>
      <c r="X376" s="792"/>
      <c r="Y376" s="792"/>
    </row>
    <row r="377" spans="1:25" s="4" customFormat="1" ht="165" customHeight="1" x14ac:dyDescent="0.3">
      <c r="A377" s="195" t="s">
        <v>777</v>
      </c>
      <c r="B377" s="182" t="s">
        <v>1185</v>
      </c>
      <c r="C377" s="182" t="s">
        <v>1191</v>
      </c>
      <c r="D377" s="160" t="s">
        <v>1187</v>
      </c>
      <c r="E377" s="50" t="s">
        <v>152</v>
      </c>
      <c r="F377" s="74" t="s">
        <v>779</v>
      </c>
      <c r="G377" s="50" t="s">
        <v>117</v>
      </c>
      <c r="H377" s="50"/>
      <c r="I377" s="99"/>
      <c r="J377" s="50"/>
      <c r="K377" s="50" t="s">
        <v>118</v>
      </c>
      <c r="L377" s="50"/>
      <c r="M377" s="50"/>
      <c r="N377" s="50"/>
      <c r="O377" s="50"/>
      <c r="P377" s="50"/>
      <c r="Q377" s="50"/>
      <c r="R377" s="50"/>
      <c r="S377" s="50"/>
      <c r="T377" s="50"/>
      <c r="U377" s="181">
        <v>550</v>
      </c>
      <c r="V377" s="180">
        <v>0</v>
      </c>
      <c r="W377" s="180">
        <v>0</v>
      </c>
      <c r="X377" s="180">
        <v>0</v>
      </c>
      <c r="Y377" s="180">
        <v>550</v>
      </c>
    </row>
    <row r="378" spans="1:25" s="4" customFormat="1" ht="144" x14ac:dyDescent="0.3">
      <c r="A378" s="195" t="s">
        <v>778</v>
      </c>
      <c r="B378" s="175" t="s">
        <v>1186</v>
      </c>
      <c r="C378" s="175" t="s">
        <v>1232</v>
      </c>
      <c r="D378" s="148" t="s">
        <v>1162</v>
      </c>
      <c r="E378" s="146" t="s">
        <v>1188</v>
      </c>
      <c r="F378" s="74" t="s">
        <v>1190</v>
      </c>
      <c r="G378" s="50" t="s">
        <v>31</v>
      </c>
      <c r="H378" s="50"/>
      <c r="I378" s="99"/>
      <c r="J378" s="50"/>
      <c r="K378" s="50">
        <v>1200</v>
      </c>
      <c r="L378" s="50">
        <v>1800</v>
      </c>
      <c r="M378" s="50">
        <v>2400</v>
      </c>
      <c r="N378" s="50">
        <v>3000</v>
      </c>
      <c r="O378" s="50">
        <v>3600</v>
      </c>
      <c r="P378" s="50">
        <v>4200</v>
      </c>
      <c r="Q378" s="50">
        <v>4800</v>
      </c>
      <c r="R378" s="50">
        <v>5400</v>
      </c>
      <c r="S378" s="50">
        <v>6000</v>
      </c>
      <c r="T378" s="50">
        <v>6200</v>
      </c>
      <c r="U378" s="181">
        <v>0</v>
      </c>
      <c r="V378" s="180">
        <v>0</v>
      </c>
      <c r="W378" s="180">
        <v>0</v>
      </c>
      <c r="X378" s="180">
        <v>0</v>
      </c>
      <c r="Y378" s="180">
        <v>0</v>
      </c>
    </row>
    <row r="379" spans="1:25" s="4" customFormat="1" ht="114.75" customHeight="1" x14ac:dyDescent="0.3">
      <c r="A379" s="844" t="s">
        <v>1110</v>
      </c>
      <c r="B379" s="777" t="s">
        <v>1154</v>
      </c>
      <c r="C379" s="777" t="s">
        <v>1202</v>
      </c>
      <c r="D379" s="714" t="s">
        <v>1157</v>
      </c>
      <c r="E379" s="716" t="s">
        <v>152</v>
      </c>
      <c r="F379" s="74" t="s">
        <v>1241</v>
      </c>
      <c r="G379" s="50" t="s">
        <v>117</v>
      </c>
      <c r="H379" s="50"/>
      <c r="I379" s="50" t="s">
        <v>118</v>
      </c>
      <c r="J379" s="50"/>
      <c r="K379" s="50"/>
      <c r="L379" s="50"/>
      <c r="M379" s="50"/>
      <c r="N379" s="50"/>
      <c r="O379" s="50"/>
      <c r="P379" s="50"/>
      <c r="Q379" s="50"/>
      <c r="R379" s="50"/>
      <c r="S379" s="50"/>
      <c r="T379" s="50"/>
      <c r="U379" s="181">
        <v>1000</v>
      </c>
      <c r="V379" s="180">
        <v>0</v>
      </c>
      <c r="W379" s="180">
        <v>0</v>
      </c>
      <c r="X379" s="180">
        <v>0</v>
      </c>
      <c r="Y379" s="180">
        <v>1000</v>
      </c>
    </row>
    <row r="380" spans="1:25" s="4" customFormat="1" ht="48" x14ac:dyDescent="0.3">
      <c r="A380" s="845"/>
      <c r="B380" s="778"/>
      <c r="C380" s="778"/>
      <c r="D380" s="715"/>
      <c r="E380" s="717"/>
      <c r="F380" s="74" t="s">
        <v>780</v>
      </c>
      <c r="G380" s="50" t="s">
        <v>117</v>
      </c>
      <c r="H380" s="50"/>
      <c r="I380" s="50" t="s">
        <v>118</v>
      </c>
      <c r="J380" s="50"/>
      <c r="K380" s="50"/>
      <c r="L380" s="50"/>
      <c r="M380" s="50"/>
      <c r="N380" s="50"/>
      <c r="O380" s="50"/>
      <c r="P380" s="50"/>
      <c r="Q380" s="50"/>
      <c r="R380" s="50"/>
      <c r="S380" s="50"/>
      <c r="T380" s="50"/>
      <c r="U380" s="181">
        <v>0</v>
      </c>
      <c r="V380" s="180">
        <v>0</v>
      </c>
      <c r="W380" s="180">
        <v>0</v>
      </c>
      <c r="X380" s="180">
        <v>0</v>
      </c>
      <c r="Y380" s="180">
        <v>0</v>
      </c>
    </row>
    <row r="381" spans="1:25" s="4" customFormat="1" ht="216" x14ac:dyDescent="0.3">
      <c r="A381" s="195" t="s">
        <v>1111</v>
      </c>
      <c r="B381" s="182" t="s">
        <v>1155</v>
      </c>
      <c r="C381" s="182" t="s">
        <v>1383</v>
      </c>
      <c r="D381" s="193" t="s">
        <v>1160</v>
      </c>
      <c r="E381" s="43" t="s">
        <v>52</v>
      </c>
      <c r="F381" s="74" t="s">
        <v>953</v>
      </c>
      <c r="G381" s="50" t="s">
        <v>31</v>
      </c>
      <c r="H381" s="50"/>
      <c r="I381" s="50">
        <v>2</v>
      </c>
      <c r="J381" s="43">
        <v>4</v>
      </c>
      <c r="K381" s="50">
        <v>6</v>
      </c>
      <c r="L381" s="43">
        <v>8</v>
      </c>
      <c r="M381" s="50">
        <v>10</v>
      </c>
      <c r="N381" s="43">
        <v>12</v>
      </c>
      <c r="O381" s="50">
        <v>14</v>
      </c>
      <c r="P381" s="43">
        <v>16</v>
      </c>
      <c r="Q381" s="50">
        <v>18</v>
      </c>
      <c r="R381" s="43">
        <v>20</v>
      </c>
      <c r="S381" s="50">
        <v>22</v>
      </c>
      <c r="T381" s="43">
        <v>24</v>
      </c>
      <c r="U381" s="181">
        <v>1500</v>
      </c>
      <c r="V381" s="180">
        <v>0</v>
      </c>
      <c r="W381" s="180">
        <v>0</v>
      </c>
      <c r="X381" s="180">
        <v>0</v>
      </c>
      <c r="Y381" s="180">
        <v>1500</v>
      </c>
    </row>
    <row r="382" spans="1:25" s="213" customFormat="1" ht="120" x14ac:dyDescent="0.25">
      <c r="A382" s="53" t="s">
        <v>1372</v>
      </c>
      <c r="B382" s="188" t="s">
        <v>933</v>
      </c>
      <c r="C382" s="188" t="s">
        <v>1384</v>
      </c>
      <c r="D382" s="193" t="s">
        <v>1159</v>
      </c>
      <c r="E382" s="43" t="s">
        <v>52</v>
      </c>
      <c r="F382" s="159" t="s">
        <v>934</v>
      </c>
      <c r="G382" s="187" t="s">
        <v>62</v>
      </c>
      <c r="H382" s="187" t="s">
        <v>140</v>
      </c>
      <c r="I382" s="187">
        <v>2.5</v>
      </c>
      <c r="J382" s="187">
        <v>2.5</v>
      </c>
      <c r="K382" s="187">
        <v>2.5</v>
      </c>
      <c r="L382" s="187">
        <v>2.5</v>
      </c>
      <c r="M382" s="187">
        <v>2.5</v>
      </c>
      <c r="N382" s="187">
        <v>2.5</v>
      </c>
      <c r="O382" s="187">
        <v>2.5</v>
      </c>
      <c r="P382" s="187">
        <v>2.5</v>
      </c>
      <c r="Q382" s="187">
        <v>2.5</v>
      </c>
      <c r="R382" s="187">
        <v>2.5</v>
      </c>
      <c r="S382" s="187">
        <v>2.5</v>
      </c>
      <c r="T382" s="187">
        <v>2.5</v>
      </c>
      <c r="U382" s="181">
        <v>17827.2</v>
      </c>
      <c r="V382" s="180">
        <v>17827.2</v>
      </c>
      <c r="W382" s="180">
        <v>0</v>
      </c>
      <c r="X382" s="180">
        <v>0</v>
      </c>
      <c r="Y382" s="180">
        <v>0</v>
      </c>
    </row>
    <row r="383" spans="1:25" s="4" customFormat="1" ht="72" x14ac:dyDescent="0.3">
      <c r="A383" s="195" t="s">
        <v>1373</v>
      </c>
      <c r="B383" s="182" t="s">
        <v>159</v>
      </c>
      <c r="C383" s="182" t="s">
        <v>1385</v>
      </c>
      <c r="D383" s="193" t="s">
        <v>1134</v>
      </c>
      <c r="E383" s="43" t="s">
        <v>52</v>
      </c>
      <c r="F383" s="61" t="s">
        <v>153</v>
      </c>
      <c r="G383" s="187" t="s">
        <v>74</v>
      </c>
      <c r="H383" s="50"/>
      <c r="I383" s="100">
        <v>8000</v>
      </c>
      <c r="J383" s="65">
        <v>8000</v>
      </c>
      <c r="K383" s="65">
        <v>8200</v>
      </c>
      <c r="L383" s="65">
        <v>8400</v>
      </c>
      <c r="M383" s="65">
        <v>8600</v>
      </c>
      <c r="N383" s="65">
        <v>8800</v>
      </c>
      <c r="O383" s="65">
        <v>9000</v>
      </c>
      <c r="P383" s="65">
        <v>9200</v>
      </c>
      <c r="Q383" s="65">
        <v>9400</v>
      </c>
      <c r="R383" s="65">
        <v>9600</v>
      </c>
      <c r="S383" s="65">
        <v>9800</v>
      </c>
      <c r="T383" s="100">
        <v>10000</v>
      </c>
      <c r="U383" s="181">
        <v>90000</v>
      </c>
      <c r="V383" s="180">
        <v>0</v>
      </c>
      <c r="W383" s="180">
        <v>0</v>
      </c>
      <c r="X383" s="180">
        <v>0</v>
      </c>
      <c r="Y383" s="180">
        <v>90000</v>
      </c>
    </row>
    <row r="384" spans="1:25" s="4" customFormat="1" ht="96" x14ac:dyDescent="0.3">
      <c r="A384" s="195" t="s">
        <v>781</v>
      </c>
      <c r="B384" s="182" t="s">
        <v>783</v>
      </c>
      <c r="C384" s="182" t="s">
        <v>1386</v>
      </c>
      <c r="D384" s="193" t="s">
        <v>1134</v>
      </c>
      <c r="E384" s="43" t="s">
        <v>52</v>
      </c>
      <c r="F384" s="192" t="s">
        <v>153</v>
      </c>
      <c r="G384" s="43" t="s">
        <v>74</v>
      </c>
      <c r="H384" s="50"/>
      <c r="I384" s="100">
        <v>20000</v>
      </c>
      <c r="J384" s="100">
        <v>20000</v>
      </c>
      <c r="K384" s="100">
        <v>21000</v>
      </c>
      <c r="L384" s="100">
        <v>22000</v>
      </c>
      <c r="M384" s="100">
        <v>23000</v>
      </c>
      <c r="N384" s="100">
        <v>24000</v>
      </c>
      <c r="O384" s="100">
        <v>25000</v>
      </c>
      <c r="P384" s="100">
        <v>26000</v>
      </c>
      <c r="Q384" s="100">
        <v>27000</v>
      </c>
      <c r="R384" s="100">
        <v>28000</v>
      </c>
      <c r="S384" s="100">
        <v>29000</v>
      </c>
      <c r="T384" s="100">
        <v>30000</v>
      </c>
      <c r="U384" s="157">
        <v>90000</v>
      </c>
      <c r="V384" s="144">
        <v>0</v>
      </c>
      <c r="W384" s="144">
        <v>0</v>
      </c>
      <c r="X384" s="144">
        <v>0</v>
      </c>
      <c r="Y384" s="144">
        <v>90000</v>
      </c>
    </row>
    <row r="385" spans="1:25" s="4" customFormat="1" ht="144" x14ac:dyDescent="0.3">
      <c r="A385" s="195" t="s">
        <v>782</v>
      </c>
      <c r="B385" s="182" t="s">
        <v>941</v>
      </c>
      <c r="C385" s="182" t="s">
        <v>1387</v>
      </c>
      <c r="D385" s="193" t="s">
        <v>1161</v>
      </c>
      <c r="E385" s="201" t="s">
        <v>52</v>
      </c>
      <c r="F385" s="61" t="s">
        <v>1124</v>
      </c>
      <c r="G385" s="50" t="s">
        <v>74</v>
      </c>
      <c r="H385" s="50"/>
      <c r="I385" s="43">
        <v>375</v>
      </c>
      <c r="J385" s="43">
        <v>375</v>
      </c>
      <c r="K385" s="43">
        <v>375</v>
      </c>
      <c r="L385" s="43">
        <v>375</v>
      </c>
      <c r="M385" s="43">
        <v>375</v>
      </c>
      <c r="N385" s="43">
        <v>375</v>
      </c>
      <c r="O385" s="43">
        <v>375</v>
      </c>
      <c r="P385" s="43">
        <v>375</v>
      </c>
      <c r="Q385" s="43">
        <v>375</v>
      </c>
      <c r="R385" s="43">
        <v>375</v>
      </c>
      <c r="S385" s="43">
        <v>375</v>
      </c>
      <c r="T385" s="43">
        <v>375</v>
      </c>
      <c r="U385" s="157">
        <v>35</v>
      </c>
      <c r="V385" s="144">
        <v>35</v>
      </c>
      <c r="W385" s="144">
        <v>0</v>
      </c>
      <c r="X385" s="144">
        <v>0</v>
      </c>
      <c r="Y385" s="144">
        <v>0</v>
      </c>
    </row>
    <row r="386" spans="1:25" s="4" customFormat="1" ht="144" x14ac:dyDescent="0.3">
      <c r="A386" s="195" t="s">
        <v>784</v>
      </c>
      <c r="B386" s="182" t="s">
        <v>785</v>
      </c>
      <c r="C386" s="182" t="s">
        <v>1125</v>
      </c>
      <c r="D386" s="193" t="s">
        <v>1134</v>
      </c>
      <c r="E386" s="50">
        <v>2019</v>
      </c>
      <c r="F386" s="74" t="s">
        <v>786</v>
      </c>
      <c r="G386" s="50" t="s">
        <v>117</v>
      </c>
      <c r="H386" s="50"/>
      <c r="I386" s="50" t="s">
        <v>118</v>
      </c>
      <c r="J386" s="50"/>
      <c r="K386" s="50"/>
      <c r="L386" s="50"/>
      <c r="M386" s="50"/>
      <c r="N386" s="50"/>
      <c r="O386" s="50"/>
      <c r="P386" s="50"/>
      <c r="Q386" s="50"/>
      <c r="R386" s="50"/>
      <c r="S386" s="50"/>
      <c r="T386" s="50"/>
      <c r="U386" s="181">
        <v>4000</v>
      </c>
      <c r="V386" s="180">
        <v>0</v>
      </c>
      <c r="W386" s="180">
        <v>0</v>
      </c>
      <c r="X386" s="180">
        <v>0</v>
      </c>
      <c r="Y386" s="180">
        <v>4000</v>
      </c>
    </row>
    <row r="387" spans="1:25" s="4" customFormat="1" ht="198.75" customHeight="1" x14ac:dyDescent="0.3">
      <c r="A387" s="193" t="s">
        <v>787</v>
      </c>
      <c r="B387" s="182" t="s">
        <v>788</v>
      </c>
      <c r="C387" s="182" t="s">
        <v>1141</v>
      </c>
      <c r="D387" s="193" t="s">
        <v>1134</v>
      </c>
      <c r="E387" s="146">
        <v>2020</v>
      </c>
      <c r="F387" s="61" t="s">
        <v>1207</v>
      </c>
      <c r="G387" s="50" t="s">
        <v>31</v>
      </c>
      <c r="H387" s="50"/>
      <c r="I387" s="43"/>
      <c r="J387" s="43">
        <v>3</v>
      </c>
      <c r="K387" s="43"/>
      <c r="L387" s="43"/>
      <c r="M387" s="43"/>
      <c r="N387" s="43"/>
      <c r="O387" s="43"/>
      <c r="P387" s="43"/>
      <c r="Q387" s="43"/>
      <c r="R387" s="43"/>
      <c r="S387" s="43"/>
      <c r="T387" s="43"/>
      <c r="U387" s="157">
        <v>0</v>
      </c>
      <c r="V387" s="144">
        <v>0</v>
      </c>
      <c r="W387" s="144">
        <v>0</v>
      </c>
      <c r="X387" s="144">
        <v>0</v>
      </c>
      <c r="Y387" s="144">
        <v>0</v>
      </c>
    </row>
    <row r="388" spans="1:25" s="4" customFormat="1" ht="144" x14ac:dyDescent="0.3">
      <c r="A388" s="195" t="s">
        <v>1374</v>
      </c>
      <c r="B388" s="182" t="s">
        <v>789</v>
      </c>
      <c r="C388" s="182" t="s">
        <v>1388</v>
      </c>
      <c r="D388" s="193" t="s">
        <v>1162</v>
      </c>
      <c r="E388" s="50" t="s">
        <v>52</v>
      </c>
      <c r="F388" s="74" t="s">
        <v>790</v>
      </c>
      <c r="G388" s="50" t="s">
        <v>117</v>
      </c>
      <c r="H388" s="50"/>
      <c r="I388" s="50" t="s">
        <v>118</v>
      </c>
      <c r="J388" s="50" t="s">
        <v>118</v>
      </c>
      <c r="K388" s="50" t="s">
        <v>118</v>
      </c>
      <c r="L388" s="50" t="s">
        <v>118</v>
      </c>
      <c r="M388" s="50" t="s">
        <v>118</v>
      </c>
      <c r="N388" s="50" t="s">
        <v>118</v>
      </c>
      <c r="O388" s="50" t="s">
        <v>118</v>
      </c>
      <c r="P388" s="50" t="s">
        <v>118</v>
      </c>
      <c r="Q388" s="50" t="s">
        <v>118</v>
      </c>
      <c r="R388" s="50" t="s">
        <v>118</v>
      </c>
      <c r="S388" s="50" t="s">
        <v>118</v>
      </c>
      <c r="T388" s="50" t="s">
        <v>118</v>
      </c>
      <c r="U388" s="181">
        <v>2269.1999999999994</v>
      </c>
      <c r="V388" s="180">
        <v>567.29999999999995</v>
      </c>
      <c r="W388" s="180">
        <v>0</v>
      </c>
      <c r="X388" s="180">
        <v>0</v>
      </c>
      <c r="Y388" s="180">
        <v>0</v>
      </c>
    </row>
    <row r="389" spans="1:25" s="4" customFormat="1" ht="96" x14ac:dyDescent="0.3">
      <c r="A389" s="195" t="s">
        <v>1375</v>
      </c>
      <c r="B389" s="182" t="s">
        <v>791</v>
      </c>
      <c r="C389" s="182" t="s">
        <v>1389</v>
      </c>
      <c r="D389" s="193" t="s">
        <v>1162</v>
      </c>
      <c r="E389" s="50" t="s">
        <v>258</v>
      </c>
      <c r="F389" s="74" t="s">
        <v>792</v>
      </c>
      <c r="G389" s="50" t="s">
        <v>117</v>
      </c>
      <c r="H389" s="50"/>
      <c r="I389" s="50" t="s">
        <v>118</v>
      </c>
      <c r="J389" s="50" t="s">
        <v>118</v>
      </c>
      <c r="K389" s="50" t="s">
        <v>118</v>
      </c>
      <c r="L389" s="50" t="s">
        <v>118</v>
      </c>
      <c r="M389" s="50" t="s">
        <v>118</v>
      </c>
      <c r="N389" s="50" t="s">
        <v>118</v>
      </c>
      <c r="O389" s="50" t="s">
        <v>118</v>
      </c>
      <c r="P389" s="50" t="s">
        <v>118</v>
      </c>
      <c r="Q389" s="50" t="s">
        <v>118</v>
      </c>
      <c r="R389" s="50" t="s">
        <v>118</v>
      </c>
      <c r="S389" s="50" t="s">
        <v>118</v>
      </c>
      <c r="T389" s="50" t="s">
        <v>118</v>
      </c>
      <c r="U389" s="181">
        <v>0</v>
      </c>
      <c r="V389" s="180">
        <v>0</v>
      </c>
      <c r="W389" s="180">
        <v>0</v>
      </c>
      <c r="X389" s="180">
        <v>0</v>
      </c>
      <c r="Y389" s="180">
        <v>0</v>
      </c>
    </row>
    <row r="390" spans="1:25" s="4" customFormat="1" ht="240" x14ac:dyDescent="0.3">
      <c r="A390" s="195" t="s">
        <v>1376</v>
      </c>
      <c r="B390" s="182" t="s">
        <v>793</v>
      </c>
      <c r="C390" s="182" t="s">
        <v>1390</v>
      </c>
      <c r="D390" s="187" t="s">
        <v>1163</v>
      </c>
      <c r="E390" s="50" t="s">
        <v>258</v>
      </c>
      <c r="F390" s="74" t="s">
        <v>794</v>
      </c>
      <c r="G390" s="50" t="s">
        <v>117</v>
      </c>
      <c r="H390" s="50"/>
      <c r="I390" s="50" t="s">
        <v>118</v>
      </c>
      <c r="J390" s="50" t="s">
        <v>118</v>
      </c>
      <c r="K390" s="50" t="s">
        <v>118</v>
      </c>
      <c r="L390" s="50" t="s">
        <v>118</v>
      </c>
      <c r="M390" s="50" t="s">
        <v>118</v>
      </c>
      <c r="N390" s="50" t="s">
        <v>118</v>
      </c>
      <c r="O390" s="50" t="s">
        <v>118</v>
      </c>
      <c r="P390" s="50" t="s">
        <v>118</v>
      </c>
      <c r="Q390" s="50" t="s">
        <v>118</v>
      </c>
      <c r="R390" s="50" t="s">
        <v>118</v>
      </c>
      <c r="S390" s="50" t="s">
        <v>118</v>
      </c>
      <c r="T390" s="50" t="s">
        <v>118</v>
      </c>
      <c r="U390" s="181">
        <v>0</v>
      </c>
      <c r="V390" s="180">
        <v>0</v>
      </c>
      <c r="W390" s="180">
        <v>0</v>
      </c>
      <c r="X390" s="180">
        <v>0</v>
      </c>
      <c r="Y390" s="180">
        <v>0</v>
      </c>
    </row>
    <row r="391" spans="1:25" s="4" customFormat="1" ht="192" x14ac:dyDescent="0.3">
      <c r="A391" s="195" t="s">
        <v>1112</v>
      </c>
      <c r="B391" s="182" t="s">
        <v>795</v>
      </c>
      <c r="C391" s="182" t="s">
        <v>1391</v>
      </c>
      <c r="D391" s="193" t="s">
        <v>1159</v>
      </c>
      <c r="E391" s="50" t="s">
        <v>258</v>
      </c>
      <c r="F391" s="74" t="s">
        <v>796</v>
      </c>
      <c r="G391" s="50" t="s">
        <v>117</v>
      </c>
      <c r="H391" s="50"/>
      <c r="I391" s="50" t="s">
        <v>118</v>
      </c>
      <c r="J391" s="50" t="s">
        <v>118</v>
      </c>
      <c r="K391" s="50" t="s">
        <v>118</v>
      </c>
      <c r="L391" s="50" t="s">
        <v>118</v>
      </c>
      <c r="M391" s="50" t="s">
        <v>118</v>
      </c>
      <c r="N391" s="50" t="s">
        <v>118</v>
      </c>
      <c r="O391" s="50" t="s">
        <v>118</v>
      </c>
      <c r="P391" s="50" t="s">
        <v>118</v>
      </c>
      <c r="Q391" s="50" t="s">
        <v>118</v>
      </c>
      <c r="R391" s="50" t="s">
        <v>118</v>
      </c>
      <c r="S391" s="50" t="s">
        <v>118</v>
      </c>
      <c r="T391" s="50" t="s">
        <v>118</v>
      </c>
      <c r="U391" s="181">
        <v>1800</v>
      </c>
      <c r="V391" s="180">
        <v>450</v>
      </c>
      <c r="W391" s="180">
        <v>0</v>
      </c>
      <c r="X391" s="180">
        <v>0</v>
      </c>
      <c r="Y391" s="180">
        <v>0</v>
      </c>
    </row>
    <row r="392" spans="1:25" s="4" customFormat="1" ht="144" x14ac:dyDescent="0.3">
      <c r="A392" s="195" t="s">
        <v>1113</v>
      </c>
      <c r="B392" s="182" t="s">
        <v>797</v>
      </c>
      <c r="C392" s="182" t="s">
        <v>1392</v>
      </c>
      <c r="D392" s="193" t="s">
        <v>1159</v>
      </c>
      <c r="E392" s="50" t="s">
        <v>258</v>
      </c>
      <c r="F392" s="74" t="s">
        <v>798</v>
      </c>
      <c r="G392" s="50" t="s">
        <v>117</v>
      </c>
      <c r="H392" s="50"/>
      <c r="I392" s="50" t="s">
        <v>118</v>
      </c>
      <c r="J392" s="50" t="s">
        <v>118</v>
      </c>
      <c r="K392" s="50" t="s">
        <v>118</v>
      </c>
      <c r="L392" s="50" t="s">
        <v>118</v>
      </c>
      <c r="M392" s="50" t="s">
        <v>118</v>
      </c>
      <c r="N392" s="50" t="s">
        <v>118</v>
      </c>
      <c r="O392" s="50" t="s">
        <v>118</v>
      </c>
      <c r="P392" s="50" t="s">
        <v>118</v>
      </c>
      <c r="Q392" s="50" t="s">
        <v>118</v>
      </c>
      <c r="R392" s="50" t="s">
        <v>118</v>
      </c>
      <c r="S392" s="50" t="s">
        <v>118</v>
      </c>
      <c r="T392" s="50" t="s">
        <v>118</v>
      </c>
      <c r="U392" s="181">
        <v>0</v>
      </c>
      <c r="V392" s="180">
        <v>0</v>
      </c>
      <c r="W392" s="180">
        <v>0</v>
      </c>
      <c r="X392" s="180">
        <v>0</v>
      </c>
      <c r="Y392" s="180">
        <v>0</v>
      </c>
    </row>
    <row r="393" spans="1:25" s="4" customFormat="1" ht="215.25" customHeight="1" x14ac:dyDescent="0.3">
      <c r="A393" s="195" t="s">
        <v>1114</v>
      </c>
      <c r="B393" s="182" t="s">
        <v>799</v>
      </c>
      <c r="C393" s="182" t="s">
        <v>1393</v>
      </c>
      <c r="D393" s="193" t="s">
        <v>1159</v>
      </c>
      <c r="E393" s="50" t="s">
        <v>258</v>
      </c>
      <c r="F393" s="74" t="s">
        <v>800</v>
      </c>
      <c r="G393" s="50" t="s">
        <v>117</v>
      </c>
      <c r="H393" s="50"/>
      <c r="I393" s="50" t="s">
        <v>118</v>
      </c>
      <c r="J393" s="50" t="s">
        <v>118</v>
      </c>
      <c r="K393" s="50" t="s">
        <v>118</v>
      </c>
      <c r="L393" s="50" t="s">
        <v>118</v>
      </c>
      <c r="M393" s="50" t="s">
        <v>118</v>
      </c>
      <c r="N393" s="50" t="s">
        <v>118</v>
      </c>
      <c r="O393" s="50" t="s">
        <v>118</v>
      </c>
      <c r="P393" s="50" t="s">
        <v>118</v>
      </c>
      <c r="Q393" s="50" t="s">
        <v>118</v>
      </c>
      <c r="R393" s="50" t="s">
        <v>118</v>
      </c>
      <c r="S393" s="50" t="s">
        <v>118</v>
      </c>
      <c r="T393" s="50" t="s">
        <v>118</v>
      </c>
      <c r="U393" s="181">
        <v>0</v>
      </c>
      <c r="V393" s="180">
        <v>0</v>
      </c>
      <c r="W393" s="180">
        <v>0</v>
      </c>
      <c r="X393" s="180">
        <v>0</v>
      </c>
      <c r="Y393" s="180">
        <v>0</v>
      </c>
    </row>
    <row r="394" spans="1:25" s="4" customFormat="1" ht="149.25" customHeight="1" x14ac:dyDescent="0.3">
      <c r="A394" s="195" t="s">
        <v>848</v>
      </c>
      <c r="B394" s="182" t="s">
        <v>801</v>
      </c>
      <c r="C394" s="182" t="s">
        <v>1394</v>
      </c>
      <c r="D394" s="193" t="s">
        <v>1159</v>
      </c>
      <c r="E394" s="50" t="s">
        <v>52</v>
      </c>
      <c r="F394" s="74" t="s">
        <v>802</v>
      </c>
      <c r="G394" s="50" t="s">
        <v>117</v>
      </c>
      <c r="H394" s="50"/>
      <c r="I394" s="50" t="s">
        <v>118</v>
      </c>
      <c r="J394" s="50" t="s">
        <v>118</v>
      </c>
      <c r="K394" s="50" t="s">
        <v>118</v>
      </c>
      <c r="L394" s="50" t="s">
        <v>118</v>
      </c>
      <c r="M394" s="50" t="s">
        <v>118</v>
      </c>
      <c r="N394" s="50" t="s">
        <v>118</v>
      </c>
      <c r="O394" s="50" t="s">
        <v>118</v>
      </c>
      <c r="P394" s="50" t="s">
        <v>118</v>
      </c>
      <c r="Q394" s="50" t="s">
        <v>118</v>
      </c>
      <c r="R394" s="50" t="s">
        <v>118</v>
      </c>
      <c r="S394" s="50" t="s">
        <v>118</v>
      </c>
      <c r="T394" s="50" t="s">
        <v>118</v>
      </c>
      <c r="U394" s="181">
        <v>0</v>
      </c>
      <c r="V394" s="180">
        <v>0</v>
      </c>
      <c r="W394" s="180">
        <v>0</v>
      </c>
      <c r="X394" s="180">
        <v>0</v>
      </c>
      <c r="Y394" s="180">
        <v>0</v>
      </c>
    </row>
    <row r="395" spans="1:25" s="4" customFormat="1" ht="96" x14ac:dyDescent="0.3">
      <c r="A395" s="195" t="s">
        <v>849</v>
      </c>
      <c r="B395" s="182" t="s">
        <v>1164</v>
      </c>
      <c r="C395" s="182" t="s">
        <v>1395</v>
      </c>
      <c r="D395" s="193" t="s">
        <v>1165</v>
      </c>
      <c r="E395" s="50">
        <v>2020</v>
      </c>
      <c r="F395" s="74" t="s">
        <v>803</v>
      </c>
      <c r="G395" s="50" t="s">
        <v>117</v>
      </c>
      <c r="H395" s="50"/>
      <c r="I395" s="50"/>
      <c r="J395" s="50" t="s">
        <v>118</v>
      </c>
      <c r="K395" s="50"/>
      <c r="L395" s="50"/>
      <c r="M395" s="50"/>
      <c r="N395" s="50"/>
      <c r="O395" s="50"/>
      <c r="P395" s="50"/>
      <c r="Q395" s="50"/>
      <c r="R395" s="50"/>
      <c r="S395" s="50"/>
      <c r="T395" s="50"/>
      <c r="U395" s="181">
        <v>0</v>
      </c>
      <c r="V395" s="180">
        <v>0</v>
      </c>
      <c r="W395" s="180">
        <v>0</v>
      </c>
      <c r="X395" s="180">
        <v>0</v>
      </c>
      <c r="Y395" s="180">
        <v>0</v>
      </c>
    </row>
    <row r="396" spans="1:25" s="4" customFormat="1" ht="275.25" customHeight="1" x14ac:dyDescent="0.3">
      <c r="A396" s="195" t="s">
        <v>850</v>
      </c>
      <c r="B396" s="182" t="s">
        <v>804</v>
      </c>
      <c r="C396" s="182" t="s">
        <v>1396</v>
      </c>
      <c r="D396" s="193" t="s">
        <v>1162</v>
      </c>
      <c r="E396" s="50">
        <v>2020</v>
      </c>
      <c r="F396" s="74" t="s">
        <v>805</v>
      </c>
      <c r="G396" s="50" t="s">
        <v>117</v>
      </c>
      <c r="H396" s="50"/>
      <c r="I396" s="50"/>
      <c r="J396" s="50" t="s">
        <v>118</v>
      </c>
      <c r="K396" s="50"/>
      <c r="L396" s="50"/>
      <c r="M396" s="50"/>
      <c r="N396" s="50"/>
      <c r="O396" s="50"/>
      <c r="P396" s="50"/>
      <c r="Q396" s="50"/>
      <c r="R396" s="50"/>
      <c r="S396" s="50"/>
      <c r="T396" s="50"/>
      <c r="U396" s="181">
        <v>0</v>
      </c>
      <c r="V396" s="180">
        <v>0</v>
      </c>
      <c r="W396" s="180">
        <v>0</v>
      </c>
      <c r="X396" s="180">
        <v>0</v>
      </c>
      <c r="Y396" s="180">
        <v>0</v>
      </c>
    </row>
    <row r="397" spans="1:25" s="4" customFormat="1" ht="72" x14ac:dyDescent="0.3">
      <c r="A397" s="759" t="s">
        <v>1377</v>
      </c>
      <c r="B397" s="859" t="s">
        <v>806</v>
      </c>
      <c r="C397" s="188" t="s">
        <v>1397</v>
      </c>
      <c r="D397" s="187" t="s">
        <v>352</v>
      </c>
      <c r="E397" s="50" t="s">
        <v>91</v>
      </c>
      <c r="F397" s="61" t="s">
        <v>1116</v>
      </c>
      <c r="G397" s="50" t="s">
        <v>117</v>
      </c>
      <c r="H397" s="50"/>
      <c r="I397" s="50"/>
      <c r="J397" s="50" t="s">
        <v>118</v>
      </c>
      <c r="K397" s="50"/>
      <c r="L397" s="50"/>
      <c r="M397" s="50"/>
      <c r="N397" s="50"/>
      <c r="O397" s="50"/>
      <c r="P397" s="50"/>
      <c r="Q397" s="50"/>
      <c r="R397" s="50"/>
      <c r="S397" s="50"/>
      <c r="T397" s="50"/>
      <c r="U397" s="181">
        <v>0</v>
      </c>
      <c r="V397" s="180">
        <v>0</v>
      </c>
      <c r="W397" s="180">
        <v>0</v>
      </c>
      <c r="X397" s="180">
        <v>0</v>
      </c>
      <c r="Y397" s="180">
        <v>0</v>
      </c>
    </row>
    <row r="398" spans="1:25" s="4" customFormat="1" ht="72" x14ac:dyDescent="0.3">
      <c r="A398" s="759"/>
      <c r="B398" s="861"/>
      <c r="C398" s="188" t="s">
        <v>1398</v>
      </c>
      <c r="D398" s="187" t="s">
        <v>352</v>
      </c>
      <c r="E398" s="50" t="s">
        <v>91</v>
      </c>
      <c r="F398" s="61" t="s">
        <v>1116</v>
      </c>
      <c r="G398" s="50" t="s">
        <v>117</v>
      </c>
      <c r="H398" s="50"/>
      <c r="I398" s="50"/>
      <c r="J398" s="50" t="s">
        <v>118</v>
      </c>
      <c r="K398" s="50"/>
      <c r="L398" s="50"/>
      <c r="M398" s="50"/>
      <c r="N398" s="50"/>
      <c r="O398" s="50"/>
      <c r="P398" s="50"/>
      <c r="Q398" s="50"/>
      <c r="R398" s="50"/>
      <c r="S398" s="50"/>
      <c r="T398" s="50"/>
      <c r="U398" s="181">
        <v>0</v>
      </c>
      <c r="V398" s="180">
        <v>0</v>
      </c>
      <c r="W398" s="180">
        <v>0</v>
      </c>
      <c r="X398" s="180">
        <v>0</v>
      </c>
      <c r="Y398" s="180">
        <v>0</v>
      </c>
    </row>
    <row r="399" spans="1:25" s="4" customFormat="1" ht="72" x14ac:dyDescent="0.3">
      <c r="A399" s="759" t="s">
        <v>1378</v>
      </c>
      <c r="B399" s="859" t="s">
        <v>807</v>
      </c>
      <c r="C399" s="188" t="s">
        <v>808</v>
      </c>
      <c r="D399" s="187" t="s">
        <v>809</v>
      </c>
      <c r="E399" s="50" t="s">
        <v>91</v>
      </c>
      <c r="F399" s="61" t="s">
        <v>1117</v>
      </c>
      <c r="G399" s="50" t="s">
        <v>117</v>
      </c>
      <c r="H399" s="50"/>
      <c r="I399" s="50"/>
      <c r="J399" s="50" t="s">
        <v>118</v>
      </c>
      <c r="K399" s="50"/>
      <c r="L399" s="50"/>
      <c r="M399" s="50"/>
      <c r="N399" s="50"/>
      <c r="O399" s="50"/>
      <c r="P399" s="50"/>
      <c r="Q399" s="50"/>
      <c r="R399" s="50"/>
      <c r="S399" s="50"/>
      <c r="T399" s="50"/>
      <c r="U399" s="181">
        <v>0</v>
      </c>
      <c r="V399" s="180">
        <v>0</v>
      </c>
      <c r="W399" s="180">
        <v>0</v>
      </c>
      <c r="X399" s="180">
        <v>0</v>
      </c>
      <c r="Y399" s="180">
        <v>0</v>
      </c>
    </row>
    <row r="400" spans="1:25" s="4" customFormat="1" ht="72" x14ac:dyDescent="0.3">
      <c r="A400" s="759"/>
      <c r="B400" s="861"/>
      <c r="C400" s="188" t="s">
        <v>1399</v>
      </c>
      <c r="D400" s="187" t="s">
        <v>352</v>
      </c>
      <c r="E400" s="50" t="s">
        <v>91</v>
      </c>
      <c r="F400" s="61" t="s">
        <v>1117</v>
      </c>
      <c r="G400" s="50" t="s">
        <v>117</v>
      </c>
      <c r="H400" s="50"/>
      <c r="I400" s="50"/>
      <c r="J400" s="50" t="s">
        <v>118</v>
      </c>
      <c r="K400" s="50"/>
      <c r="L400" s="50"/>
      <c r="M400" s="50"/>
      <c r="N400" s="50"/>
      <c r="O400" s="50"/>
      <c r="P400" s="50"/>
      <c r="Q400" s="50"/>
      <c r="R400" s="50"/>
      <c r="S400" s="50"/>
      <c r="T400" s="50"/>
      <c r="U400" s="181">
        <v>0</v>
      </c>
      <c r="V400" s="180">
        <v>0</v>
      </c>
      <c r="W400" s="180">
        <v>0</v>
      </c>
      <c r="X400" s="180">
        <v>0</v>
      </c>
      <c r="Y400" s="180">
        <v>0</v>
      </c>
    </row>
    <row r="401" spans="1:25" s="4" customFormat="1" ht="72" x14ac:dyDescent="0.3">
      <c r="A401" s="193" t="s">
        <v>1379</v>
      </c>
      <c r="B401" s="188" t="s">
        <v>810</v>
      </c>
      <c r="C401" s="188" t="s">
        <v>1400</v>
      </c>
      <c r="D401" s="187" t="s">
        <v>352</v>
      </c>
      <c r="E401" s="50" t="s">
        <v>91</v>
      </c>
      <c r="F401" s="61" t="s">
        <v>1118</v>
      </c>
      <c r="G401" s="50" t="s">
        <v>117</v>
      </c>
      <c r="H401" s="50"/>
      <c r="I401" s="50"/>
      <c r="J401" s="50" t="s">
        <v>118</v>
      </c>
      <c r="K401" s="50"/>
      <c r="L401" s="50"/>
      <c r="M401" s="50"/>
      <c r="N401" s="50"/>
      <c r="O401" s="50"/>
      <c r="P401" s="50"/>
      <c r="Q401" s="50"/>
      <c r="R401" s="50"/>
      <c r="S401" s="50"/>
      <c r="T401" s="50"/>
      <c r="U401" s="181">
        <v>0</v>
      </c>
      <c r="V401" s="180">
        <v>0</v>
      </c>
      <c r="W401" s="180">
        <v>0</v>
      </c>
      <c r="X401" s="180">
        <v>0</v>
      </c>
      <c r="Y401" s="180">
        <v>0</v>
      </c>
    </row>
    <row r="402" spans="1:25" ht="30" x14ac:dyDescent="0.3">
      <c r="A402" s="101"/>
      <c r="B402" s="102"/>
      <c r="C402" s="103"/>
      <c r="D402" s="101"/>
      <c r="E402" s="104"/>
      <c r="F402" s="105" t="s">
        <v>811</v>
      </c>
      <c r="G402" s="106"/>
      <c r="H402" s="107"/>
      <c r="I402" s="107"/>
      <c r="J402" s="107"/>
      <c r="K402" s="107"/>
      <c r="L402" s="107"/>
      <c r="M402" s="107"/>
      <c r="N402" s="107"/>
      <c r="O402" s="107"/>
      <c r="P402" s="107"/>
      <c r="Q402" s="107"/>
      <c r="R402" s="107"/>
      <c r="S402" s="107"/>
      <c r="T402" s="107"/>
      <c r="U402" s="113">
        <f>SUM(U16:U401)</f>
        <v>190721764.17199993</v>
      </c>
      <c r="V402" s="113">
        <f>SUM(V228:V401)+SUM(V16:V208)+39090.6+282368.8+9341089.8+183614.6+590000+625000+245000+1080000+146000+200000+281907.3+86779.6+309500+71629.7+129706.8+50000</f>
        <v>27486290.400000002</v>
      </c>
      <c r="W402" s="113">
        <f>SUM(W16:W401)</f>
        <v>19491178.5</v>
      </c>
      <c r="X402" s="113">
        <f t="shared" ref="X402:Y402" si="6">SUM(X16:X401)</f>
        <v>43199117.699999996</v>
      </c>
      <c r="Y402" s="113">
        <f t="shared" si="6"/>
        <v>37806449.971999995</v>
      </c>
    </row>
    <row r="403" spans="1:25" s="1" customFormat="1" x14ac:dyDescent="0.3">
      <c r="A403" s="12"/>
      <c r="B403" s="13"/>
      <c r="C403" s="13"/>
      <c r="D403" s="14"/>
      <c r="E403" s="12"/>
      <c r="F403" s="15"/>
      <c r="G403" s="12"/>
      <c r="H403" s="12"/>
      <c r="I403" s="12"/>
      <c r="J403" s="12"/>
      <c r="K403" s="12"/>
      <c r="L403" s="12"/>
      <c r="M403" s="12"/>
      <c r="N403" s="12"/>
      <c r="O403" s="12"/>
      <c r="P403" s="12"/>
      <c r="Q403" s="12"/>
      <c r="R403" s="12"/>
      <c r="S403" s="12"/>
      <c r="T403" s="12"/>
      <c r="U403" s="24"/>
      <c r="V403" s="24"/>
      <c r="W403" s="24"/>
      <c r="X403" s="24"/>
      <c r="Y403" s="24"/>
    </row>
    <row r="404" spans="1:25" s="1" customFormat="1" x14ac:dyDescent="0.3">
      <c r="A404" s="12"/>
      <c r="B404" s="13"/>
      <c r="C404" s="13"/>
      <c r="D404" s="14"/>
      <c r="E404" s="12"/>
      <c r="F404" s="15"/>
      <c r="G404" s="12"/>
      <c r="H404" s="12"/>
      <c r="I404" s="12"/>
      <c r="J404" s="12"/>
      <c r="K404" s="12"/>
      <c r="L404" s="12"/>
      <c r="M404" s="12"/>
      <c r="N404" s="12"/>
      <c r="O404" s="12"/>
      <c r="P404" s="12"/>
      <c r="Q404" s="12"/>
      <c r="R404" s="12"/>
      <c r="S404" s="12"/>
      <c r="T404" s="12"/>
      <c r="U404" s="24"/>
      <c r="V404" s="24"/>
      <c r="W404" s="24"/>
      <c r="X404" s="24"/>
      <c r="Y404" s="24"/>
    </row>
    <row r="405" spans="1:25" s="1" customFormat="1" x14ac:dyDescent="0.3">
      <c r="A405" s="12"/>
      <c r="B405" s="13"/>
      <c r="C405" s="13"/>
      <c r="D405" s="14"/>
      <c r="E405" s="12"/>
      <c r="F405" s="15"/>
      <c r="G405" s="12"/>
      <c r="H405" s="12"/>
      <c r="I405" s="12"/>
      <c r="J405" s="12"/>
      <c r="K405" s="12"/>
      <c r="L405" s="12"/>
      <c r="M405" s="12"/>
      <c r="N405" s="12"/>
      <c r="O405" s="12"/>
      <c r="P405" s="12"/>
      <c r="Q405" s="12"/>
      <c r="R405" s="12"/>
      <c r="S405" s="12"/>
      <c r="T405" s="12"/>
      <c r="U405" s="24"/>
      <c r="V405" s="24"/>
      <c r="W405" s="24"/>
      <c r="X405" s="24"/>
      <c r="Y405" s="24"/>
    </row>
    <row r="406" spans="1:25" s="1" customFormat="1" x14ac:dyDescent="0.3">
      <c r="A406" s="12"/>
      <c r="B406" s="13"/>
      <c r="C406" s="13"/>
      <c r="D406" s="14"/>
      <c r="E406" s="12"/>
      <c r="F406" s="15"/>
      <c r="G406" s="12"/>
      <c r="H406" s="12"/>
      <c r="I406" s="12"/>
      <c r="J406" s="12"/>
      <c r="K406" s="12"/>
      <c r="L406" s="12"/>
      <c r="M406" s="12"/>
      <c r="N406" s="12"/>
      <c r="O406" s="12"/>
      <c r="P406" s="12"/>
      <c r="Q406" s="12"/>
      <c r="R406" s="12"/>
      <c r="S406" s="12"/>
      <c r="T406" s="12"/>
      <c r="U406" s="24"/>
      <c r="V406" s="24"/>
      <c r="W406" s="24"/>
      <c r="X406" s="24"/>
      <c r="Y406" s="24"/>
    </row>
    <row r="407" spans="1:25" s="1" customFormat="1" x14ac:dyDescent="0.3">
      <c r="A407" s="12"/>
      <c r="B407" s="13"/>
      <c r="C407" s="13"/>
      <c r="D407" s="14"/>
      <c r="E407" s="12"/>
      <c r="F407" s="15"/>
      <c r="G407" s="12"/>
      <c r="H407" s="12"/>
      <c r="I407" s="12"/>
      <c r="J407" s="12"/>
      <c r="K407" s="12"/>
      <c r="L407" s="12"/>
      <c r="M407" s="12"/>
      <c r="N407" s="12"/>
      <c r="O407" s="12"/>
      <c r="P407" s="12"/>
      <c r="Q407" s="12"/>
      <c r="R407" s="12"/>
      <c r="S407" s="12"/>
      <c r="T407" s="12"/>
      <c r="U407" s="24"/>
      <c r="V407" s="24"/>
      <c r="W407" s="24"/>
      <c r="X407" s="24"/>
      <c r="Y407" s="24"/>
    </row>
    <row r="408" spans="1:25" s="1" customFormat="1" x14ac:dyDescent="0.3">
      <c r="A408" s="12"/>
      <c r="B408" s="13"/>
      <c r="C408" s="13"/>
      <c r="D408" s="14"/>
      <c r="E408" s="12"/>
      <c r="F408" s="15"/>
      <c r="G408" s="12"/>
      <c r="H408" s="12"/>
      <c r="I408" s="12"/>
      <c r="J408" s="12"/>
      <c r="K408" s="12"/>
      <c r="L408" s="12"/>
      <c r="M408" s="12"/>
      <c r="N408" s="12"/>
      <c r="O408" s="12"/>
      <c r="P408" s="12"/>
      <c r="Q408" s="12"/>
      <c r="R408" s="12"/>
      <c r="S408" s="12"/>
      <c r="T408" s="12"/>
      <c r="U408" s="24"/>
      <c r="V408" s="24"/>
      <c r="W408" s="24"/>
      <c r="X408" s="24"/>
      <c r="Y408" s="24"/>
    </row>
    <row r="409" spans="1:25" s="1" customFormat="1" x14ac:dyDescent="0.3">
      <c r="A409" s="12"/>
      <c r="B409" s="13"/>
      <c r="C409" s="13"/>
      <c r="D409" s="14"/>
      <c r="E409" s="12"/>
      <c r="F409" s="15"/>
      <c r="G409" s="12"/>
      <c r="H409" s="12"/>
      <c r="I409" s="12"/>
      <c r="J409" s="12"/>
      <c r="K409" s="12"/>
      <c r="L409" s="12"/>
      <c r="M409" s="12"/>
      <c r="N409" s="12"/>
      <c r="O409" s="12"/>
      <c r="P409" s="12"/>
      <c r="Q409" s="12"/>
      <c r="R409" s="12"/>
      <c r="S409" s="12"/>
      <c r="T409" s="12"/>
      <c r="U409" s="24"/>
      <c r="V409" s="24"/>
      <c r="W409" s="24"/>
      <c r="X409" s="24"/>
      <c r="Y409" s="24"/>
    </row>
    <row r="410" spans="1:25" s="1" customFormat="1" x14ac:dyDescent="0.3">
      <c r="A410" s="12"/>
      <c r="B410" s="13"/>
      <c r="C410" s="13"/>
      <c r="D410" s="14"/>
      <c r="E410" s="12"/>
      <c r="F410" s="15"/>
      <c r="G410" s="12"/>
      <c r="H410" s="12"/>
      <c r="I410" s="12"/>
      <c r="J410" s="12"/>
      <c r="K410" s="12"/>
      <c r="L410" s="12"/>
      <c r="M410" s="12"/>
      <c r="N410" s="12"/>
      <c r="O410" s="12"/>
      <c r="P410" s="12"/>
      <c r="Q410" s="12"/>
      <c r="R410" s="12"/>
      <c r="S410" s="12"/>
      <c r="T410" s="12"/>
      <c r="U410" s="24"/>
      <c r="V410" s="24"/>
      <c r="W410" s="24"/>
      <c r="X410" s="24"/>
      <c r="Y410" s="24"/>
    </row>
    <row r="411" spans="1:25" s="1" customFormat="1" x14ac:dyDescent="0.3">
      <c r="A411" s="12"/>
      <c r="B411" s="13"/>
      <c r="C411" s="13"/>
      <c r="D411" s="14"/>
      <c r="E411" s="12"/>
      <c r="F411" s="15"/>
      <c r="G411" s="12"/>
      <c r="H411" s="12"/>
      <c r="I411" s="12"/>
      <c r="J411" s="12"/>
      <c r="K411" s="12"/>
      <c r="L411" s="12"/>
      <c r="M411" s="12"/>
      <c r="N411" s="12"/>
      <c r="O411" s="12"/>
      <c r="P411" s="12"/>
      <c r="Q411" s="12"/>
      <c r="R411" s="12"/>
      <c r="S411" s="12"/>
      <c r="T411" s="12"/>
      <c r="U411" s="24"/>
      <c r="V411" s="24"/>
      <c r="W411" s="24"/>
      <c r="X411" s="24"/>
      <c r="Y411" s="24"/>
    </row>
    <row r="412" spans="1:25" s="1" customFormat="1" x14ac:dyDescent="0.3">
      <c r="A412" s="12"/>
      <c r="B412" s="13"/>
      <c r="C412" s="13"/>
      <c r="D412" s="14"/>
      <c r="E412" s="12"/>
      <c r="F412" s="15"/>
      <c r="G412" s="12"/>
      <c r="H412" s="12"/>
      <c r="I412" s="12"/>
      <c r="J412" s="12"/>
      <c r="K412" s="12"/>
      <c r="L412" s="12"/>
      <c r="M412" s="12"/>
      <c r="N412" s="12"/>
      <c r="O412" s="12"/>
      <c r="P412" s="12"/>
      <c r="Q412" s="12"/>
      <c r="R412" s="12"/>
      <c r="S412" s="12"/>
      <c r="T412" s="12"/>
      <c r="U412" s="24"/>
      <c r="V412" s="24"/>
      <c r="W412" s="24"/>
      <c r="X412" s="24"/>
      <c r="Y412" s="24"/>
    </row>
    <row r="413" spans="1:25" s="1" customFormat="1" x14ac:dyDescent="0.3">
      <c r="A413" s="12"/>
      <c r="B413" s="13"/>
      <c r="C413" s="13"/>
      <c r="D413" s="14"/>
      <c r="E413" s="12"/>
      <c r="F413" s="15"/>
      <c r="G413" s="12"/>
      <c r="H413" s="12"/>
      <c r="I413" s="12"/>
      <c r="J413" s="12"/>
      <c r="K413" s="12"/>
      <c r="L413" s="12"/>
      <c r="M413" s="12"/>
      <c r="N413" s="12"/>
      <c r="O413" s="12"/>
      <c r="P413" s="12"/>
      <c r="Q413" s="12"/>
      <c r="R413" s="12"/>
      <c r="S413" s="12"/>
      <c r="T413" s="12"/>
      <c r="U413" s="24"/>
      <c r="V413" s="24"/>
      <c r="W413" s="24"/>
      <c r="X413" s="24"/>
      <c r="Y413" s="24"/>
    </row>
    <row r="414" spans="1:25" s="1" customFormat="1" x14ac:dyDescent="0.3">
      <c r="A414" s="12"/>
      <c r="B414" s="13"/>
      <c r="C414" s="13"/>
      <c r="D414" s="14"/>
      <c r="E414" s="12"/>
      <c r="F414" s="15"/>
      <c r="G414" s="12"/>
      <c r="H414" s="12"/>
      <c r="I414" s="12"/>
      <c r="J414" s="12"/>
      <c r="K414" s="12"/>
      <c r="L414" s="12"/>
      <c r="M414" s="12"/>
      <c r="N414" s="12"/>
      <c r="O414" s="12"/>
      <c r="P414" s="12"/>
      <c r="Q414" s="12"/>
      <c r="R414" s="12"/>
      <c r="S414" s="12"/>
      <c r="T414" s="12"/>
      <c r="U414" s="24"/>
      <c r="V414" s="24"/>
      <c r="W414" s="24"/>
      <c r="X414" s="24"/>
      <c r="Y414" s="24"/>
    </row>
    <row r="415" spans="1:25" s="1" customFormat="1" x14ac:dyDescent="0.3">
      <c r="A415" s="12"/>
      <c r="B415" s="13"/>
      <c r="C415" s="13"/>
      <c r="D415" s="14"/>
      <c r="E415" s="12"/>
      <c r="F415" s="15"/>
      <c r="G415" s="12"/>
      <c r="H415" s="12"/>
      <c r="I415" s="12"/>
      <c r="J415" s="12"/>
      <c r="K415" s="12"/>
      <c r="L415" s="12"/>
      <c r="M415" s="12"/>
      <c r="N415" s="12"/>
      <c r="O415" s="12"/>
      <c r="P415" s="12"/>
      <c r="Q415" s="12"/>
      <c r="R415" s="12"/>
      <c r="S415" s="12"/>
      <c r="T415" s="12"/>
      <c r="U415" s="24"/>
      <c r="V415" s="24"/>
      <c r="W415" s="24"/>
      <c r="X415" s="24"/>
      <c r="Y415" s="24"/>
    </row>
    <row r="416" spans="1:25" s="1" customFormat="1" x14ac:dyDescent="0.3">
      <c r="A416" s="12"/>
      <c r="B416" s="13"/>
      <c r="C416" s="13"/>
      <c r="D416" s="14"/>
      <c r="E416" s="12"/>
      <c r="F416" s="15"/>
      <c r="G416" s="12"/>
      <c r="H416" s="12"/>
      <c r="I416" s="12"/>
      <c r="J416" s="12"/>
      <c r="K416" s="12"/>
      <c r="L416" s="12"/>
      <c r="M416" s="12"/>
      <c r="N416" s="12"/>
      <c r="O416" s="12"/>
      <c r="P416" s="12"/>
      <c r="Q416" s="12"/>
      <c r="R416" s="12"/>
      <c r="S416" s="12"/>
      <c r="T416" s="12"/>
      <c r="U416" s="24"/>
      <c r="V416" s="24"/>
      <c r="W416" s="24"/>
      <c r="X416" s="24"/>
      <c r="Y416" s="24"/>
    </row>
    <row r="417" spans="1:25" s="1" customFormat="1" x14ac:dyDescent="0.3">
      <c r="A417" s="12"/>
      <c r="B417" s="13"/>
      <c r="C417" s="13"/>
      <c r="D417" s="14"/>
      <c r="E417" s="12"/>
      <c r="F417" s="15"/>
      <c r="G417" s="12"/>
      <c r="H417" s="12"/>
      <c r="I417" s="12"/>
      <c r="J417" s="12"/>
      <c r="K417" s="12"/>
      <c r="L417" s="12"/>
      <c r="M417" s="12"/>
      <c r="N417" s="12"/>
      <c r="O417" s="12"/>
      <c r="P417" s="12"/>
      <c r="Q417" s="12"/>
      <c r="R417" s="12"/>
      <c r="S417" s="12"/>
      <c r="T417" s="12"/>
      <c r="U417" s="24"/>
      <c r="V417" s="24"/>
      <c r="W417" s="24"/>
      <c r="X417" s="24"/>
      <c r="Y417" s="24"/>
    </row>
    <row r="418" spans="1:25" s="1" customFormat="1" x14ac:dyDescent="0.3">
      <c r="A418" s="12"/>
      <c r="B418" s="13"/>
      <c r="C418" s="13"/>
      <c r="D418" s="14"/>
      <c r="E418" s="12"/>
      <c r="F418" s="15"/>
      <c r="G418" s="12"/>
      <c r="H418" s="12"/>
      <c r="I418" s="12"/>
      <c r="J418" s="12"/>
      <c r="K418" s="12"/>
      <c r="L418" s="12"/>
      <c r="M418" s="12"/>
      <c r="N418" s="12"/>
      <c r="O418" s="12"/>
      <c r="P418" s="12"/>
      <c r="Q418" s="12"/>
      <c r="R418" s="12"/>
      <c r="S418" s="12"/>
      <c r="T418" s="12"/>
      <c r="U418" s="24"/>
      <c r="V418" s="24"/>
      <c r="W418" s="24"/>
      <c r="X418" s="24"/>
      <c r="Y418" s="24"/>
    </row>
    <row r="419" spans="1:25" s="1" customFormat="1" x14ac:dyDescent="0.3">
      <c r="A419" s="12"/>
      <c r="B419" s="13"/>
      <c r="C419" s="13"/>
      <c r="D419" s="14"/>
      <c r="E419" s="12"/>
      <c r="F419" s="15"/>
      <c r="G419" s="12"/>
      <c r="H419" s="12"/>
      <c r="I419" s="12"/>
      <c r="J419" s="12"/>
      <c r="K419" s="12"/>
      <c r="L419" s="12"/>
      <c r="M419" s="12"/>
      <c r="N419" s="12"/>
      <c r="O419" s="12"/>
      <c r="P419" s="12"/>
      <c r="Q419" s="12"/>
      <c r="R419" s="12"/>
      <c r="S419" s="12"/>
      <c r="T419" s="12"/>
      <c r="U419" s="24"/>
      <c r="V419" s="24"/>
      <c r="W419" s="24"/>
      <c r="X419" s="24"/>
      <c r="Y419" s="24"/>
    </row>
    <row r="420" spans="1:25" s="1" customFormat="1" x14ac:dyDescent="0.3">
      <c r="A420" s="12"/>
      <c r="B420" s="13"/>
      <c r="C420" s="13"/>
      <c r="D420" s="14"/>
      <c r="E420" s="12"/>
      <c r="F420" s="15"/>
      <c r="G420" s="12"/>
      <c r="H420" s="12"/>
      <c r="I420" s="12"/>
      <c r="J420" s="12"/>
      <c r="K420" s="12"/>
      <c r="L420" s="12"/>
      <c r="M420" s="12"/>
      <c r="N420" s="12"/>
      <c r="O420" s="12"/>
      <c r="P420" s="12"/>
      <c r="Q420" s="12"/>
      <c r="R420" s="12"/>
      <c r="S420" s="12"/>
      <c r="T420" s="12"/>
      <c r="U420" s="24"/>
      <c r="V420" s="24"/>
      <c r="W420" s="24"/>
      <c r="X420" s="24"/>
      <c r="Y420" s="24"/>
    </row>
    <row r="421" spans="1:25" s="1" customFormat="1" x14ac:dyDescent="0.3">
      <c r="A421" s="12"/>
      <c r="B421" s="13"/>
      <c r="C421" s="13"/>
      <c r="D421" s="14"/>
      <c r="E421" s="12"/>
      <c r="F421" s="15"/>
      <c r="G421" s="12"/>
      <c r="H421" s="12"/>
      <c r="I421" s="12"/>
      <c r="J421" s="12"/>
      <c r="K421" s="12"/>
      <c r="L421" s="12"/>
      <c r="M421" s="12"/>
      <c r="N421" s="12"/>
      <c r="O421" s="12"/>
      <c r="P421" s="12"/>
      <c r="Q421" s="12"/>
      <c r="R421" s="12"/>
      <c r="S421" s="12"/>
      <c r="T421" s="12"/>
      <c r="U421" s="24"/>
      <c r="V421" s="24"/>
      <c r="W421" s="24"/>
      <c r="X421" s="24"/>
      <c r="Y421" s="24"/>
    </row>
  </sheetData>
  <autoFilter ref="D1:D421"/>
  <mergeCells count="543">
    <mergeCell ref="U2:Y6"/>
    <mergeCell ref="F5:F7"/>
    <mergeCell ref="G5:G7"/>
    <mergeCell ref="H5:H7"/>
    <mergeCell ref="I5:K6"/>
    <mergeCell ref="L5:N6"/>
    <mergeCell ref="O5:Q6"/>
    <mergeCell ref="A2:A7"/>
    <mergeCell ref="B2:B7"/>
    <mergeCell ref="C2:C7"/>
    <mergeCell ref="D2:D7"/>
    <mergeCell ref="E2:E7"/>
    <mergeCell ref="F2:T4"/>
    <mergeCell ref="R5:T6"/>
    <mergeCell ref="P39:P40"/>
    <mergeCell ref="Q39:Q40"/>
    <mergeCell ref="U27:U32"/>
    <mergeCell ref="V27:V32"/>
    <mergeCell ref="W27:W32"/>
    <mergeCell ref="X27:X32"/>
    <mergeCell ref="Y27:Y32"/>
    <mergeCell ref="A8:A12"/>
    <mergeCell ref="B8:E12"/>
    <mergeCell ref="B13:T13"/>
    <mergeCell ref="A14:A15"/>
    <mergeCell ref="B14:E15"/>
    <mergeCell ref="A37:A38"/>
    <mergeCell ref="B37:B38"/>
    <mergeCell ref="C37:C38"/>
    <mergeCell ref="D37:D38"/>
    <mergeCell ref="E37:E38"/>
    <mergeCell ref="G39:G40"/>
    <mergeCell ref="H39:H40"/>
    <mergeCell ref="I39:I40"/>
    <mergeCell ref="J39:J40"/>
    <mergeCell ref="W37:W38"/>
    <mergeCell ref="X37:X38"/>
    <mergeCell ref="Y37:Y38"/>
    <mergeCell ref="U39:U40"/>
    <mergeCell ref="V39:V40"/>
    <mergeCell ref="W39:W40"/>
    <mergeCell ref="X39:X40"/>
    <mergeCell ref="Y39:Y40"/>
    <mergeCell ref="S39:S40"/>
    <mergeCell ref="T39:T40"/>
    <mergeCell ref="U37:U38"/>
    <mergeCell ref="V37:V38"/>
    <mergeCell ref="R39:R40"/>
    <mergeCell ref="B65:T65"/>
    <mergeCell ref="B66:T66"/>
    <mergeCell ref="A67:A68"/>
    <mergeCell ref="B67:B68"/>
    <mergeCell ref="C67:C68"/>
    <mergeCell ref="D67:D68"/>
    <mergeCell ref="E67:E68"/>
    <mergeCell ref="A41:A51"/>
    <mergeCell ref="B41:B51"/>
    <mergeCell ref="D41:D51"/>
    <mergeCell ref="E41:E51"/>
    <mergeCell ref="B60:T60"/>
    <mergeCell ref="A39:A40"/>
    <mergeCell ref="B39:B40"/>
    <mergeCell ref="C39:C40"/>
    <mergeCell ref="D39:D40"/>
    <mergeCell ref="E39:E40"/>
    <mergeCell ref="F39:F40"/>
    <mergeCell ref="K39:K40"/>
    <mergeCell ref="L39:L40"/>
    <mergeCell ref="M39:M40"/>
    <mergeCell ref="N39:N40"/>
    <mergeCell ref="O39:O40"/>
    <mergeCell ref="U85:U86"/>
    <mergeCell ref="V85:V86"/>
    <mergeCell ref="W85:W86"/>
    <mergeCell ref="X85:X86"/>
    <mergeCell ref="Y85:Y86"/>
    <mergeCell ref="A85:A86"/>
    <mergeCell ref="B85:B86"/>
    <mergeCell ref="W72:W73"/>
    <mergeCell ref="X72:X73"/>
    <mergeCell ref="Y72:Y73"/>
    <mergeCell ref="B76:E76"/>
    <mergeCell ref="B84:T84"/>
    <mergeCell ref="U72:U73"/>
    <mergeCell ref="V72:V73"/>
    <mergeCell ref="A72:A73"/>
    <mergeCell ref="B72:B73"/>
    <mergeCell ref="C72:C73"/>
    <mergeCell ref="D72:D73"/>
    <mergeCell ref="E72:E73"/>
    <mergeCell ref="A87:A88"/>
    <mergeCell ref="B87:B88"/>
    <mergeCell ref="B89:T89"/>
    <mergeCell ref="B90:T90"/>
    <mergeCell ref="B92:T92"/>
    <mergeCell ref="I98:I99"/>
    <mergeCell ref="J98:J99"/>
    <mergeCell ref="K98:K99"/>
    <mergeCell ref="L98:L99"/>
    <mergeCell ref="B93:T93"/>
    <mergeCell ref="B94:T94"/>
    <mergeCell ref="B95:T95"/>
    <mergeCell ref="V102:V103"/>
    <mergeCell ref="W102:W103"/>
    <mergeCell ref="X102:X103"/>
    <mergeCell ref="A96:A99"/>
    <mergeCell ref="B96:B99"/>
    <mergeCell ref="C96:C98"/>
    <mergeCell ref="D96:D97"/>
    <mergeCell ref="E96:E99"/>
    <mergeCell ref="Y102:Y103"/>
    <mergeCell ref="X96:X98"/>
    <mergeCell ref="Y96:Y98"/>
    <mergeCell ref="V96:V98"/>
    <mergeCell ref="W96:W98"/>
    <mergeCell ref="B105:T105"/>
    <mergeCell ref="U102:U103"/>
    <mergeCell ref="S98:S99"/>
    <mergeCell ref="T98:T99"/>
    <mergeCell ref="A101:A104"/>
    <mergeCell ref="B101:B104"/>
    <mergeCell ref="D101:D104"/>
    <mergeCell ref="E101:E104"/>
    <mergeCell ref="C102:C103"/>
    <mergeCell ref="M98:M99"/>
    <mergeCell ref="N98:N99"/>
    <mergeCell ref="O98:O99"/>
    <mergeCell ref="P98:P99"/>
    <mergeCell ref="Q98:Q99"/>
    <mergeCell ref="R98:R99"/>
    <mergeCell ref="F98:F99"/>
    <mergeCell ref="G98:G99"/>
    <mergeCell ref="H98:H99"/>
    <mergeCell ref="U96:U98"/>
    <mergeCell ref="R106:R109"/>
    <mergeCell ref="S106:S109"/>
    <mergeCell ref="T106:T109"/>
    <mergeCell ref="B112:T112"/>
    <mergeCell ref="B113:T113"/>
    <mergeCell ref="B117:T117"/>
    <mergeCell ref="L106:L109"/>
    <mergeCell ref="M106:M109"/>
    <mergeCell ref="N106:N109"/>
    <mergeCell ref="O106:O109"/>
    <mergeCell ref="P106:P109"/>
    <mergeCell ref="Q106:Q109"/>
    <mergeCell ref="F106:F109"/>
    <mergeCell ref="G106:G109"/>
    <mergeCell ref="H106:H109"/>
    <mergeCell ref="I106:I109"/>
    <mergeCell ref="J106:J109"/>
    <mergeCell ref="K106:K109"/>
    <mergeCell ref="U122:U123"/>
    <mergeCell ref="V122:V123"/>
    <mergeCell ref="W122:W123"/>
    <mergeCell ref="X122:X123"/>
    <mergeCell ref="Y122:Y123"/>
    <mergeCell ref="B121:T121"/>
    <mergeCell ref="A122:A123"/>
    <mergeCell ref="B122:B123"/>
    <mergeCell ref="C122:C123"/>
    <mergeCell ref="D122:D123"/>
    <mergeCell ref="E122:E123"/>
    <mergeCell ref="X132:X133"/>
    <mergeCell ref="Y132:Y133"/>
    <mergeCell ref="B131:T131"/>
    <mergeCell ref="A132:A133"/>
    <mergeCell ref="B132:B133"/>
    <mergeCell ref="C132:C133"/>
    <mergeCell ref="D132:D133"/>
    <mergeCell ref="B127:T127"/>
    <mergeCell ref="B128:T128"/>
    <mergeCell ref="A129:A130"/>
    <mergeCell ref="B129:B130"/>
    <mergeCell ref="D129:D130"/>
    <mergeCell ref="B134:T134"/>
    <mergeCell ref="A136:A137"/>
    <mergeCell ref="B136:B137"/>
    <mergeCell ref="C136:C137"/>
    <mergeCell ref="D136:D137"/>
    <mergeCell ref="E136:E137"/>
    <mergeCell ref="U132:U133"/>
    <mergeCell ref="V132:V133"/>
    <mergeCell ref="W132:W133"/>
    <mergeCell ref="A146:A147"/>
    <mergeCell ref="B146:B147"/>
    <mergeCell ref="C146:C147"/>
    <mergeCell ref="D146:D147"/>
    <mergeCell ref="U136:U137"/>
    <mergeCell ref="V136:V137"/>
    <mergeCell ref="W136:W137"/>
    <mergeCell ref="X136:X137"/>
    <mergeCell ref="Y136:Y137"/>
    <mergeCell ref="X146:X147"/>
    <mergeCell ref="Y146:Y147"/>
    <mergeCell ref="B148:T148"/>
    <mergeCell ref="B153:T153"/>
    <mergeCell ref="B161:T161"/>
    <mergeCell ref="U146:U147"/>
    <mergeCell ref="V146:V147"/>
    <mergeCell ref="W146:W147"/>
    <mergeCell ref="B141:T141"/>
    <mergeCell ref="B142:T142"/>
    <mergeCell ref="B145:T145"/>
    <mergeCell ref="B176:E176"/>
    <mergeCell ref="A177:A178"/>
    <mergeCell ref="B177:B178"/>
    <mergeCell ref="C177:C178"/>
    <mergeCell ref="D177:D178"/>
    <mergeCell ref="W162:W164"/>
    <mergeCell ref="X162:X164"/>
    <mergeCell ref="Y162:Y164"/>
    <mergeCell ref="B174:T174"/>
    <mergeCell ref="B175:T175"/>
    <mergeCell ref="U162:U164"/>
    <mergeCell ref="V162:V164"/>
    <mergeCell ref="A162:A164"/>
    <mergeCell ref="B162:B164"/>
    <mergeCell ref="C162:C164"/>
    <mergeCell ref="D162:D164"/>
    <mergeCell ref="E162:E164"/>
    <mergeCell ref="A183:A184"/>
    <mergeCell ref="B183:B184"/>
    <mergeCell ref="A186:A187"/>
    <mergeCell ref="B186:B187"/>
    <mergeCell ref="A189:A191"/>
    <mergeCell ref="B189:B191"/>
    <mergeCell ref="W177:W178"/>
    <mergeCell ref="X177:X178"/>
    <mergeCell ref="Y177:Y178"/>
    <mergeCell ref="A181:A182"/>
    <mergeCell ref="B181:B182"/>
    <mergeCell ref="U177:U178"/>
    <mergeCell ref="V177:V178"/>
    <mergeCell ref="G200:G201"/>
    <mergeCell ref="A192:A193"/>
    <mergeCell ref="B192:B193"/>
    <mergeCell ref="B194:T194"/>
    <mergeCell ref="B195:T195"/>
    <mergeCell ref="B199:T199"/>
    <mergeCell ref="A200:A203"/>
    <mergeCell ref="B200:B203"/>
    <mergeCell ref="C200:C201"/>
    <mergeCell ref="D200:D201"/>
    <mergeCell ref="E200:E201"/>
    <mergeCell ref="C202:C203"/>
    <mergeCell ref="D202:D203"/>
    <mergeCell ref="E202:E203"/>
    <mergeCell ref="G202:G203"/>
    <mergeCell ref="V204:V205"/>
    <mergeCell ref="W204:W205"/>
    <mergeCell ref="X204:X205"/>
    <mergeCell ref="Y204:Y205"/>
    <mergeCell ref="U200:U203"/>
    <mergeCell ref="V200:V203"/>
    <mergeCell ref="W200:W203"/>
    <mergeCell ref="X200:X203"/>
    <mergeCell ref="Y200:Y203"/>
    <mergeCell ref="A206:A207"/>
    <mergeCell ref="B206:B207"/>
    <mergeCell ref="C206:C207"/>
    <mergeCell ref="D206:D207"/>
    <mergeCell ref="E206:E207"/>
    <mergeCell ref="U204:U205"/>
    <mergeCell ref="R209:R222"/>
    <mergeCell ref="S209:S222"/>
    <mergeCell ref="T209:T222"/>
    <mergeCell ref="A204:A205"/>
    <mergeCell ref="B204:B205"/>
    <mergeCell ref="C204:C205"/>
    <mergeCell ref="D204:D205"/>
    <mergeCell ref="E204:E205"/>
    <mergeCell ref="L209:L222"/>
    <mergeCell ref="M209:M222"/>
    <mergeCell ref="N209:N222"/>
    <mergeCell ref="O209:O222"/>
    <mergeCell ref="P209:P222"/>
    <mergeCell ref="Q209:Q222"/>
    <mergeCell ref="F209:F222"/>
    <mergeCell ref="G209:G222"/>
    <mergeCell ref="H209:H222"/>
    <mergeCell ref="I209:I222"/>
    <mergeCell ref="J209:J222"/>
    <mergeCell ref="K209:K222"/>
    <mergeCell ref="L228:L231"/>
    <mergeCell ref="M228:M231"/>
    <mergeCell ref="N228:N231"/>
    <mergeCell ref="B226:T226"/>
    <mergeCell ref="B227:T227"/>
    <mergeCell ref="F228:F231"/>
    <mergeCell ref="G228:G231"/>
    <mergeCell ref="H228:H231"/>
    <mergeCell ref="I228:I231"/>
    <mergeCell ref="J228:J231"/>
    <mergeCell ref="Q228:Q231"/>
    <mergeCell ref="R228:R231"/>
    <mergeCell ref="S228:S231"/>
    <mergeCell ref="T228:T231"/>
    <mergeCell ref="O228:O231"/>
    <mergeCell ref="P228:P231"/>
    <mergeCell ref="K228:K231"/>
    <mergeCell ref="V236:V237"/>
    <mergeCell ref="W236:W237"/>
    <mergeCell ref="X236:X237"/>
    <mergeCell ref="Y236:Y237"/>
    <mergeCell ref="A240:A242"/>
    <mergeCell ref="B240:B242"/>
    <mergeCell ref="U236:U237"/>
    <mergeCell ref="V232:V233"/>
    <mergeCell ref="W232:W233"/>
    <mergeCell ref="X232:X233"/>
    <mergeCell ref="Y232:Y233"/>
    <mergeCell ref="A236:A237"/>
    <mergeCell ref="B236:B237"/>
    <mergeCell ref="C236:C237"/>
    <mergeCell ref="D236:D237"/>
    <mergeCell ref="E236:E237"/>
    <mergeCell ref="U232:U233"/>
    <mergeCell ref="A232:A233"/>
    <mergeCell ref="B232:B233"/>
    <mergeCell ref="C232:C233"/>
    <mergeCell ref="D232:D233"/>
    <mergeCell ref="E232:E233"/>
    <mergeCell ref="W245:W246"/>
    <mergeCell ref="X245:X246"/>
    <mergeCell ref="Y245:Y246"/>
    <mergeCell ref="B247:T247"/>
    <mergeCell ref="A249:A253"/>
    <mergeCell ref="B249:B253"/>
    <mergeCell ref="D249:D253"/>
    <mergeCell ref="U245:U246"/>
    <mergeCell ref="V245:V246"/>
    <mergeCell ref="A245:A246"/>
    <mergeCell ref="B245:B246"/>
    <mergeCell ref="C245:C246"/>
    <mergeCell ref="D245:D246"/>
    <mergeCell ref="E245:E246"/>
    <mergeCell ref="R258:R259"/>
    <mergeCell ref="S258:S259"/>
    <mergeCell ref="T258:T259"/>
    <mergeCell ref="F260:F263"/>
    <mergeCell ref="G260:G263"/>
    <mergeCell ref="H260:H263"/>
    <mergeCell ref="I260:I263"/>
    <mergeCell ref="J260:J263"/>
    <mergeCell ref="K260:K263"/>
    <mergeCell ref="L260:L263"/>
    <mergeCell ref="L258:L259"/>
    <mergeCell ref="M258:M259"/>
    <mergeCell ref="N258:N259"/>
    <mergeCell ref="O258:O259"/>
    <mergeCell ref="P258:P259"/>
    <mergeCell ref="Q258:Q259"/>
    <mergeCell ref="F258:F259"/>
    <mergeCell ref="G258:G259"/>
    <mergeCell ref="H258:H259"/>
    <mergeCell ref="I258:I259"/>
    <mergeCell ref="J258:J259"/>
    <mergeCell ref="K258:K259"/>
    <mergeCell ref="S260:S263"/>
    <mergeCell ref="T260:T263"/>
    <mergeCell ref="B264:T264"/>
    <mergeCell ref="A265:A268"/>
    <mergeCell ref="B265:B268"/>
    <mergeCell ref="A270:A272"/>
    <mergeCell ref="B270:B272"/>
    <mergeCell ref="M260:M263"/>
    <mergeCell ref="N260:N263"/>
    <mergeCell ref="O260:O263"/>
    <mergeCell ref="P260:P263"/>
    <mergeCell ref="Q260:Q263"/>
    <mergeCell ref="R260:R263"/>
    <mergeCell ref="K278:K279"/>
    <mergeCell ref="A273:A274"/>
    <mergeCell ref="B273:B274"/>
    <mergeCell ref="A275:A276"/>
    <mergeCell ref="B275:B276"/>
    <mergeCell ref="B277:T277"/>
    <mergeCell ref="A278:A279"/>
    <mergeCell ref="B278:B279"/>
    <mergeCell ref="C278:C279"/>
    <mergeCell ref="D278:D279"/>
    <mergeCell ref="E278:E279"/>
    <mergeCell ref="Y278:Y279"/>
    <mergeCell ref="A281:A282"/>
    <mergeCell ref="B281:B282"/>
    <mergeCell ref="C281:C282"/>
    <mergeCell ref="D281:D282"/>
    <mergeCell ref="E281:E282"/>
    <mergeCell ref="U278:U279"/>
    <mergeCell ref="V278:V279"/>
    <mergeCell ref="W278:W279"/>
    <mergeCell ref="X278:X279"/>
    <mergeCell ref="R278:R279"/>
    <mergeCell ref="S278:S279"/>
    <mergeCell ref="T278:T279"/>
    <mergeCell ref="L278:L279"/>
    <mergeCell ref="M278:M279"/>
    <mergeCell ref="N278:N279"/>
    <mergeCell ref="O278:O279"/>
    <mergeCell ref="P278:P279"/>
    <mergeCell ref="Q278:Q279"/>
    <mergeCell ref="F278:F279"/>
    <mergeCell ref="G278:G279"/>
    <mergeCell ref="H278:H279"/>
    <mergeCell ref="I278:I279"/>
    <mergeCell ref="J278:J279"/>
    <mergeCell ref="Y281:Y282"/>
    <mergeCell ref="A285:A287"/>
    <mergeCell ref="B285:B287"/>
    <mergeCell ref="C285:C287"/>
    <mergeCell ref="E285:E287"/>
    <mergeCell ref="U281:U282"/>
    <mergeCell ref="V281:V282"/>
    <mergeCell ref="W281:W282"/>
    <mergeCell ref="X281:X282"/>
    <mergeCell ref="W292:W293"/>
    <mergeCell ref="X292:X293"/>
    <mergeCell ref="Y292:Y293"/>
    <mergeCell ref="B296:E296"/>
    <mergeCell ref="B297:T297"/>
    <mergeCell ref="U292:U293"/>
    <mergeCell ref="V292:V293"/>
    <mergeCell ref="A292:A293"/>
    <mergeCell ref="B292:B293"/>
    <mergeCell ref="C292:C293"/>
    <mergeCell ref="D292:D293"/>
    <mergeCell ref="E292:E293"/>
    <mergeCell ref="A304:A307"/>
    <mergeCell ref="B304:E307"/>
    <mergeCell ref="L298:L299"/>
    <mergeCell ref="M298:M299"/>
    <mergeCell ref="N298:N299"/>
    <mergeCell ref="O298:O299"/>
    <mergeCell ref="P298:P299"/>
    <mergeCell ref="Q298:Q299"/>
    <mergeCell ref="F298:F299"/>
    <mergeCell ref="G298:G299"/>
    <mergeCell ref="H298:H299"/>
    <mergeCell ref="I298:I299"/>
    <mergeCell ref="J298:J299"/>
    <mergeCell ref="K298:K299"/>
    <mergeCell ref="B308:T308"/>
    <mergeCell ref="B309:T309"/>
    <mergeCell ref="B315:T315"/>
    <mergeCell ref="B317:T317"/>
    <mergeCell ref="B320:T320"/>
    <mergeCell ref="B321:T321"/>
    <mergeCell ref="R298:R299"/>
    <mergeCell ref="S298:S299"/>
    <mergeCell ref="T298:T299"/>
    <mergeCell ref="B302:T302"/>
    <mergeCell ref="A328:A329"/>
    <mergeCell ref="B328:B329"/>
    <mergeCell ref="C328:C329"/>
    <mergeCell ref="D328:D329"/>
    <mergeCell ref="E328:E329"/>
    <mergeCell ref="U322:U327"/>
    <mergeCell ref="A322:A327"/>
    <mergeCell ref="B322:B327"/>
    <mergeCell ref="C322:C327"/>
    <mergeCell ref="D322:D327"/>
    <mergeCell ref="E322:E327"/>
    <mergeCell ref="F322:F323"/>
    <mergeCell ref="U328:U329"/>
    <mergeCell ref="V328:V329"/>
    <mergeCell ref="W328:W329"/>
    <mergeCell ref="X328:X329"/>
    <mergeCell ref="Y328:Y329"/>
    <mergeCell ref="F328:F329"/>
    <mergeCell ref="V322:V327"/>
    <mergeCell ref="W322:W327"/>
    <mergeCell ref="X322:X327"/>
    <mergeCell ref="Y322:Y327"/>
    <mergeCell ref="Y335:Y336"/>
    <mergeCell ref="F335:F336"/>
    <mergeCell ref="V330:V334"/>
    <mergeCell ref="W330:W334"/>
    <mergeCell ref="X330:X334"/>
    <mergeCell ref="Y330:Y334"/>
    <mergeCell ref="A335:A336"/>
    <mergeCell ref="B335:B336"/>
    <mergeCell ref="C335:C336"/>
    <mergeCell ref="D335:D336"/>
    <mergeCell ref="E335:E336"/>
    <mergeCell ref="U330:U334"/>
    <mergeCell ref="A330:A334"/>
    <mergeCell ref="B330:B334"/>
    <mergeCell ref="C330:C334"/>
    <mergeCell ref="D330:D334"/>
    <mergeCell ref="E330:E334"/>
    <mergeCell ref="F330:F331"/>
    <mergeCell ref="A339:A344"/>
    <mergeCell ref="B339:B344"/>
    <mergeCell ref="C339:C342"/>
    <mergeCell ref="D339:D342"/>
    <mergeCell ref="E339:E342"/>
    <mergeCell ref="U335:U336"/>
    <mergeCell ref="V335:V336"/>
    <mergeCell ref="W335:W336"/>
    <mergeCell ref="X335:X336"/>
    <mergeCell ref="U345:U346"/>
    <mergeCell ref="V345:V346"/>
    <mergeCell ref="W345:W346"/>
    <mergeCell ref="X345:X346"/>
    <mergeCell ref="Y345:Y346"/>
    <mergeCell ref="W339:W342"/>
    <mergeCell ref="X339:X342"/>
    <mergeCell ref="Y339:Y342"/>
    <mergeCell ref="C345:C346"/>
    <mergeCell ref="U339:U342"/>
    <mergeCell ref="V339:V342"/>
    <mergeCell ref="B364:T364"/>
    <mergeCell ref="A367:A368"/>
    <mergeCell ref="B367:B368"/>
    <mergeCell ref="C367:C368"/>
    <mergeCell ref="D367:D368"/>
    <mergeCell ref="E367:E368"/>
    <mergeCell ref="B348:T348"/>
    <mergeCell ref="B356:T356"/>
    <mergeCell ref="B359:T359"/>
    <mergeCell ref="A362:A363"/>
    <mergeCell ref="B362:B363"/>
    <mergeCell ref="E362:E363"/>
    <mergeCell ref="A397:A398"/>
    <mergeCell ref="B397:B398"/>
    <mergeCell ref="A399:A400"/>
    <mergeCell ref="B399:B400"/>
    <mergeCell ref="W375:W376"/>
    <mergeCell ref="X375:X376"/>
    <mergeCell ref="Y375:Y376"/>
    <mergeCell ref="A379:A380"/>
    <mergeCell ref="B379:B380"/>
    <mergeCell ref="C379:C380"/>
    <mergeCell ref="D379:D380"/>
    <mergeCell ref="E379:E380"/>
    <mergeCell ref="U375:U376"/>
    <mergeCell ref="V375:V376"/>
    <mergeCell ref="A375:A376"/>
    <mergeCell ref="B375:B376"/>
    <mergeCell ref="C375:C376"/>
    <mergeCell ref="D375:D376"/>
    <mergeCell ref="E375:E376"/>
  </mergeCells>
  <pageMargins left="0.15748031496062992" right="0.15748031496062992" top="0.59055118110236227" bottom="0.39370078740157483" header="0" footer="0"/>
  <pageSetup paperSize="8" scale="30" fitToHeight="0" orientation="landscape" r:id="rId1"/>
  <rowBreaks count="10" manualBreakCount="10">
    <brk id="40" max="25" man="1"/>
    <brk id="79" max="25" man="1"/>
    <brk id="104" max="25" man="1"/>
    <brk id="169" max="25" man="1"/>
    <brk id="239" max="25" man="1"/>
    <brk id="274" max="25" man="1"/>
    <brk id="294" max="25" man="1"/>
    <brk id="318" max="25" man="1"/>
    <brk id="336" max="25" man="1"/>
    <brk id="353"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Y421"/>
  <sheetViews>
    <sheetView view="pageBreakPreview" zoomScale="41" zoomScaleNormal="70" zoomScaleSheetLayoutView="41" zoomScalePageLayoutView="28" workbookViewId="0">
      <pane xSplit="5" ySplit="7" topLeftCell="H17" activePane="bottomRight" state="frozen"/>
      <selection pane="topRight" activeCell="F1" sqref="F1"/>
      <selection pane="bottomLeft" activeCell="A8" sqref="A8"/>
      <selection pane="bottomRight" activeCell="V17" sqref="V17"/>
    </sheetView>
  </sheetViews>
  <sheetFormatPr defaultColWidth="8.85546875" defaultRowHeight="26.25" x14ac:dyDescent="0.3"/>
  <cols>
    <col min="1" max="1" width="16.5703125" style="12" customWidth="1"/>
    <col min="2" max="2" width="48.85546875" style="13" customWidth="1"/>
    <col min="3" max="3" width="101.85546875" style="13" customWidth="1"/>
    <col min="4" max="4" width="33.28515625" style="14" customWidth="1"/>
    <col min="5" max="5" width="22.42578125" style="12" customWidth="1"/>
    <col min="6" max="6" width="54" style="15" customWidth="1"/>
    <col min="7" max="7" width="21.42578125" style="12" customWidth="1"/>
    <col min="8" max="8" width="16" style="12" customWidth="1"/>
    <col min="9" max="9" width="17.7109375" style="12" customWidth="1"/>
    <col min="10" max="10" width="16.42578125" style="12" customWidth="1"/>
    <col min="11" max="11" width="17.140625" style="12" customWidth="1"/>
    <col min="12" max="12" width="16.7109375" style="12" customWidth="1"/>
    <col min="13" max="13" width="16.42578125" style="12" customWidth="1"/>
    <col min="14" max="14" width="17.140625" style="12" customWidth="1"/>
    <col min="15" max="15" width="16.42578125" style="12" customWidth="1"/>
    <col min="16" max="16" width="16.7109375" style="12" customWidth="1"/>
    <col min="17" max="17" width="17.42578125" style="12" customWidth="1"/>
    <col min="18" max="19" width="16.7109375" style="12" customWidth="1"/>
    <col min="20" max="20" width="17.42578125" style="12" customWidth="1"/>
    <col min="21" max="21" width="33.85546875" style="20" bestFit="1" customWidth="1"/>
    <col min="22" max="22" width="32.7109375" style="20" customWidth="1"/>
    <col min="23" max="23" width="30.42578125" style="20" customWidth="1"/>
    <col min="24" max="24" width="29.5703125" style="20" bestFit="1" customWidth="1"/>
    <col min="25" max="25" width="30.7109375" style="20" customWidth="1"/>
    <col min="26" max="16384" width="8.85546875" style="2"/>
  </cols>
  <sheetData>
    <row r="1" spans="1:25" ht="52.5" customHeight="1" x14ac:dyDescent="0.3">
      <c r="A1" s="25"/>
      <c r="B1" s="26"/>
      <c r="C1" s="214" t="s">
        <v>0</v>
      </c>
      <c r="D1" s="27"/>
      <c r="E1" s="25"/>
      <c r="F1" s="28"/>
      <c r="G1" s="25"/>
      <c r="H1" s="25"/>
      <c r="I1" s="25"/>
      <c r="J1" s="25"/>
      <c r="K1" s="25"/>
      <c r="L1" s="25"/>
      <c r="M1" s="25"/>
      <c r="N1" s="25"/>
      <c r="O1" s="25"/>
      <c r="P1" s="25"/>
      <c r="Q1" s="25"/>
      <c r="R1" s="25"/>
      <c r="S1" s="25"/>
      <c r="T1" s="25"/>
      <c r="U1" s="29"/>
      <c r="V1" s="29"/>
      <c r="W1" s="29"/>
      <c r="X1" s="29"/>
      <c r="Y1" s="29"/>
    </row>
    <row r="2" spans="1:25" s="7" customFormat="1" ht="19.5" customHeight="1" x14ac:dyDescent="0.25">
      <c r="A2" s="812" t="s">
        <v>1</v>
      </c>
      <c r="B2" s="812" t="s">
        <v>2</v>
      </c>
      <c r="C2" s="812" t="s">
        <v>3</v>
      </c>
      <c r="D2" s="812" t="s">
        <v>4</v>
      </c>
      <c r="E2" s="979" t="s">
        <v>5</v>
      </c>
      <c r="F2" s="979" t="s">
        <v>6</v>
      </c>
      <c r="G2" s="979"/>
      <c r="H2" s="979"/>
      <c r="I2" s="979"/>
      <c r="J2" s="979"/>
      <c r="K2" s="979"/>
      <c r="L2" s="979"/>
      <c r="M2" s="979"/>
      <c r="N2" s="979"/>
      <c r="O2" s="979"/>
      <c r="P2" s="979"/>
      <c r="Q2" s="979"/>
      <c r="R2" s="979"/>
      <c r="S2" s="979"/>
      <c r="T2" s="979"/>
      <c r="U2" s="812" t="s">
        <v>1243</v>
      </c>
      <c r="V2" s="812"/>
      <c r="W2" s="812"/>
      <c r="X2" s="812"/>
      <c r="Y2" s="812"/>
    </row>
    <row r="3" spans="1:25" s="7" customFormat="1" ht="23.25" customHeight="1" x14ac:dyDescent="0.25">
      <c r="A3" s="812"/>
      <c r="B3" s="812"/>
      <c r="C3" s="812"/>
      <c r="D3" s="812"/>
      <c r="E3" s="979"/>
      <c r="F3" s="979"/>
      <c r="G3" s="979"/>
      <c r="H3" s="979"/>
      <c r="I3" s="979"/>
      <c r="J3" s="979"/>
      <c r="K3" s="979"/>
      <c r="L3" s="979"/>
      <c r="M3" s="979"/>
      <c r="N3" s="979"/>
      <c r="O3" s="979"/>
      <c r="P3" s="979"/>
      <c r="Q3" s="979"/>
      <c r="R3" s="979"/>
      <c r="S3" s="979"/>
      <c r="T3" s="979"/>
      <c r="U3" s="812"/>
      <c r="V3" s="812"/>
      <c r="W3" s="812"/>
      <c r="X3" s="812"/>
      <c r="Y3" s="812"/>
    </row>
    <row r="4" spans="1:25" s="7" customFormat="1" ht="23.25" customHeight="1" x14ac:dyDescent="0.25">
      <c r="A4" s="812"/>
      <c r="B4" s="812"/>
      <c r="C4" s="812"/>
      <c r="D4" s="812"/>
      <c r="E4" s="979"/>
      <c r="F4" s="979"/>
      <c r="G4" s="979"/>
      <c r="H4" s="979"/>
      <c r="I4" s="979"/>
      <c r="J4" s="979"/>
      <c r="K4" s="979"/>
      <c r="L4" s="979"/>
      <c r="M4" s="979"/>
      <c r="N4" s="979"/>
      <c r="O4" s="979"/>
      <c r="P4" s="979"/>
      <c r="Q4" s="979"/>
      <c r="R4" s="979"/>
      <c r="S4" s="979"/>
      <c r="T4" s="979"/>
      <c r="U4" s="812"/>
      <c r="V4" s="812"/>
      <c r="W4" s="812"/>
      <c r="X4" s="812"/>
      <c r="Y4" s="812"/>
    </row>
    <row r="5" spans="1:25" s="7" customFormat="1" ht="19.5" customHeight="1" x14ac:dyDescent="0.25">
      <c r="A5" s="812"/>
      <c r="B5" s="812"/>
      <c r="C5" s="812"/>
      <c r="D5" s="812"/>
      <c r="E5" s="979"/>
      <c r="F5" s="979" t="s">
        <v>8</v>
      </c>
      <c r="G5" s="979" t="s">
        <v>9</v>
      </c>
      <c r="H5" s="979">
        <v>2015</v>
      </c>
      <c r="I5" s="979" t="s">
        <v>10</v>
      </c>
      <c r="J5" s="979"/>
      <c r="K5" s="979"/>
      <c r="L5" s="979" t="s">
        <v>11</v>
      </c>
      <c r="M5" s="979"/>
      <c r="N5" s="979"/>
      <c r="O5" s="979" t="s">
        <v>12</v>
      </c>
      <c r="P5" s="979"/>
      <c r="Q5" s="979"/>
      <c r="R5" s="979" t="s">
        <v>13</v>
      </c>
      <c r="S5" s="979"/>
      <c r="T5" s="979"/>
      <c r="U5" s="812"/>
      <c r="V5" s="812"/>
      <c r="W5" s="812"/>
      <c r="X5" s="812"/>
      <c r="Y5" s="812"/>
    </row>
    <row r="6" spans="1:25" s="7" customFormat="1" ht="23.25" customHeight="1" x14ac:dyDescent="0.25">
      <c r="A6" s="812"/>
      <c r="B6" s="812"/>
      <c r="C6" s="812"/>
      <c r="D6" s="812"/>
      <c r="E6" s="979"/>
      <c r="F6" s="979"/>
      <c r="G6" s="979"/>
      <c r="H6" s="979"/>
      <c r="I6" s="979"/>
      <c r="J6" s="979"/>
      <c r="K6" s="979"/>
      <c r="L6" s="979"/>
      <c r="M6" s="979"/>
      <c r="N6" s="979"/>
      <c r="O6" s="979"/>
      <c r="P6" s="979"/>
      <c r="Q6" s="979"/>
      <c r="R6" s="979"/>
      <c r="S6" s="979"/>
      <c r="T6" s="979"/>
      <c r="U6" s="812"/>
      <c r="V6" s="812"/>
      <c r="W6" s="812"/>
      <c r="X6" s="812"/>
      <c r="Y6" s="812"/>
    </row>
    <row r="7" spans="1:25" s="7" customFormat="1" ht="39" customHeight="1" x14ac:dyDescent="0.25">
      <c r="A7" s="812"/>
      <c r="B7" s="812"/>
      <c r="C7" s="812"/>
      <c r="D7" s="812"/>
      <c r="E7" s="979"/>
      <c r="F7" s="979"/>
      <c r="G7" s="979"/>
      <c r="H7" s="979"/>
      <c r="I7" s="260">
        <v>2019</v>
      </c>
      <c r="J7" s="260">
        <v>2020</v>
      </c>
      <c r="K7" s="260">
        <v>2021</v>
      </c>
      <c r="L7" s="260">
        <v>2022</v>
      </c>
      <c r="M7" s="260">
        <v>2023</v>
      </c>
      <c r="N7" s="260">
        <v>2024</v>
      </c>
      <c r="O7" s="260">
        <v>2025</v>
      </c>
      <c r="P7" s="260">
        <v>2026</v>
      </c>
      <c r="Q7" s="260">
        <v>2027</v>
      </c>
      <c r="R7" s="260">
        <v>2028</v>
      </c>
      <c r="S7" s="260">
        <v>2029</v>
      </c>
      <c r="T7" s="260">
        <v>2030</v>
      </c>
      <c r="U7" s="259" t="s">
        <v>14</v>
      </c>
      <c r="V7" s="244" t="s">
        <v>20</v>
      </c>
      <c r="W7" s="244" t="s">
        <v>16</v>
      </c>
      <c r="X7" s="244" t="s">
        <v>17</v>
      </c>
      <c r="Y7" s="244" t="s">
        <v>18</v>
      </c>
    </row>
    <row r="8" spans="1:25" s="3" customFormat="1" ht="46.5" x14ac:dyDescent="0.3">
      <c r="A8" s="959">
        <v>1</v>
      </c>
      <c r="B8" s="962" t="s">
        <v>21</v>
      </c>
      <c r="C8" s="963"/>
      <c r="D8" s="963"/>
      <c r="E8" s="964"/>
      <c r="F8" s="30" t="s">
        <v>873</v>
      </c>
      <c r="G8" s="31" t="s">
        <v>878</v>
      </c>
      <c r="H8" s="32">
        <v>177.53899999999999</v>
      </c>
      <c r="I8" s="32">
        <v>180.756</v>
      </c>
      <c r="J8" s="32">
        <v>181.101</v>
      </c>
      <c r="K8" s="32">
        <v>181.447</v>
      </c>
      <c r="L8" s="32">
        <v>181.79400000000001</v>
      </c>
      <c r="M8" s="32">
        <v>182.14099999999999</v>
      </c>
      <c r="N8" s="32">
        <v>182.488</v>
      </c>
      <c r="O8" s="32">
        <v>182.83699999999999</v>
      </c>
      <c r="P8" s="32">
        <v>183.18600000000001</v>
      </c>
      <c r="Q8" s="32">
        <v>183.536</v>
      </c>
      <c r="R8" s="32">
        <v>183.887</v>
      </c>
      <c r="S8" s="32">
        <v>184.238</v>
      </c>
      <c r="T8" s="32">
        <v>184.59700000000001</v>
      </c>
      <c r="U8" s="33"/>
      <c r="V8" s="33"/>
      <c r="W8" s="33"/>
      <c r="X8" s="33"/>
      <c r="Y8" s="33"/>
    </row>
    <row r="9" spans="1:25" s="3" customFormat="1" ht="46.5" x14ac:dyDescent="0.3">
      <c r="A9" s="960"/>
      <c r="B9" s="965"/>
      <c r="C9" s="966"/>
      <c r="D9" s="966"/>
      <c r="E9" s="967"/>
      <c r="F9" s="30" t="s">
        <v>874</v>
      </c>
      <c r="G9" s="31" t="s">
        <v>878</v>
      </c>
      <c r="H9" s="32">
        <v>124.35599999999999</v>
      </c>
      <c r="I9" s="32">
        <v>121.97499999999999</v>
      </c>
      <c r="J9" s="32">
        <v>121.342</v>
      </c>
      <c r="K9" s="32">
        <v>120.71299999999999</v>
      </c>
      <c r="L9" s="32">
        <v>120.087</v>
      </c>
      <c r="M9" s="32">
        <v>120.375</v>
      </c>
      <c r="N9" s="32">
        <v>120.66200000000001</v>
      </c>
      <c r="O9" s="32">
        <v>120.95099999999999</v>
      </c>
      <c r="P9" s="32">
        <v>121.238</v>
      </c>
      <c r="Q9" s="32">
        <v>121.527</v>
      </c>
      <c r="R9" s="32">
        <v>121.815</v>
      </c>
      <c r="S9" s="32">
        <v>122.10299999999999</v>
      </c>
      <c r="T9" s="32">
        <v>122.39</v>
      </c>
      <c r="U9" s="33"/>
      <c r="V9" s="33"/>
      <c r="W9" s="33"/>
      <c r="X9" s="33"/>
      <c r="Y9" s="33"/>
    </row>
    <row r="10" spans="1:25" s="3" customFormat="1" ht="46.5" x14ac:dyDescent="0.3">
      <c r="A10" s="960"/>
      <c r="B10" s="965"/>
      <c r="C10" s="966"/>
      <c r="D10" s="966"/>
      <c r="E10" s="967"/>
      <c r="F10" s="30" t="s">
        <v>875</v>
      </c>
      <c r="G10" s="31" t="s">
        <v>879</v>
      </c>
      <c r="H10" s="34">
        <v>9.4</v>
      </c>
      <c r="I10" s="34">
        <f>1471/180756*1000</f>
        <v>8.1380424439576</v>
      </c>
      <c r="J10" s="34">
        <v>8</v>
      </c>
      <c r="K10" s="34">
        <v>7.9</v>
      </c>
      <c r="L10" s="34">
        <v>7.8</v>
      </c>
      <c r="M10" s="34">
        <v>7.8</v>
      </c>
      <c r="N10" s="34">
        <v>7.9</v>
      </c>
      <c r="O10" s="34">
        <v>7.9</v>
      </c>
      <c r="P10" s="34">
        <v>7.9</v>
      </c>
      <c r="Q10" s="34">
        <v>7.9</v>
      </c>
      <c r="R10" s="34">
        <v>7.9</v>
      </c>
      <c r="S10" s="34">
        <v>7.9</v>
      </c>
      <c r="T10" s="34">
        <v>7.9</v>
      </c>
      <c r="U10" s="33"/>
      <c r="V10" s="33"/>
      <c r="W10" s="33"/>
      <c r="X10" s="33"/>
      <c r="Y10" s="33"/>
    </row>
    <row r="11" spans="1:25" s="3" customFormat="1" ht="69.75" x14ac:dyDescent="0.3">
      <c r="A11" s="960"/>
      <c r="B11" s="965"/>
      <c r="C11" s="966"/>
      <c r="D11" s="966"/>
      <c r="E11" s="967"/>
      <c r="F11" s="30" t="s">
        <v>876</v>
      </c>
      <c r="G11" s="31" t="s">
        <v>62</v>
      </c>
      <c r="H11" s="34">
        <v>100</v>
      </c>
      <c r="I11" s="34">
        <v>115.4</v>
      </c>
      <c r="J11" s="34">
        <v>118.8</v>
      </c>
      <c r="K11" s="34">
        <v>123.2</v>
      </c>
      <c r="L11" s="34">
        <v>127.9</v>
      </c>
      <c r="M11" s="34">
        <v>132.80000000000001</v>
      </c>
      <c r="N11" s="34">
        <v>137.80000000000001</v>
      </c>
      <c r="O11" s="34">
        <v>143.1</v>
      </c>
      <c r="P11" s="34">
        <v>148.5</v>
      </c>
      <c r="Q11" s="34">
        <v>154.19999999999999</v>
      </c>
      <c r="R11" s="34">
        <v>160</v>
      </c>
      <c r="S11" s="34">
        <v>166.1</v>
      </c>
      <c r="T11" s="34">
        <v>172.4</v>
      </c>
      <c r="U11" s="33"/>
      <c r="V11" s="33"/>
      <c r="W11" s="33"/>
      <c r="X11" s="33"/>
      <c r="Y11" s="33"/>
    </row>
    <row r="12" spans="1:25" s="3" customFormat="1" ht="116.25" x14ac:dyDescent="0.3">
      <c r="A12" s="961"/>
      <c r="B12" s="968"/>
      <c r="C12" s="969"/>
      <c r="D12" s="969"/>
      <c r="E12" s="970"/>
      <c r="F12" s="30" t="s">
        <v>877</v>
      </c>
      <c r="G12" s="31" t="s">
        <v>62</v>
      </c>
      <c r="H12" s="34">
        <v>0.8</v>
      </c>
      <c r="I12" s="34">
        <v>0.8</v>
      </c>
      <c r="J12" s="34">
        <v>0.8</v>
      </c>
      <c r="K12" s="34">
        <v>0.8</v>
      </c>
      <c r="L12" s="34">
        <v>0.8</v>
      </c>
      <c r="M12" s="34">
        <v>0.8</v>
      </c>
      <c r="N12" s="34">
        <v>0.8</v>
      </c>
      <c r="O12" s="34">
        <v>0.8</v>
      </c>
      <c r="P12" s="34">
        <v>0.8</v>
      </c>
      <c r="Q12" s="34">
        <v>0.8</v>
      </c>
      <c r="R12" s="34">
        <v>0.8</v>
      </c>
      <c r="S12" s="34">
        <v>0.8</v>
      </c>
      <c r="T12" s="34">
        <v>0.8</v>
      </c>
      <c r="U12" s="33"/>
      <c r="V12" s="33"/>
      <c r="W12" s="33"/>
      <c r="X12" s="33"/>
      <c r="Y12" s="33"/>
    </row>
    <row r="13" spans="1:25" s="3" customFormat="1" ht="34.5" customHeight="1" x14ac:dyDescent="0.3">
      <c r="A13" s="35" t="s">
        <v>22</v>
      </c>
      <c r="B13" s="955" t="s">
        <v>23</v>
      </c>
      <c r="C13" s="955"/>
      <c r="D13" s="955"/>
      <c r="E13" s="955"/>
      <c r="F13" s="955"/>
      <c r="G13" s="955"/>
      <c r="H13" s="955"/>
      <c r="I13" s="955"/>
      <c r="J13" s="955"/>
      <c r="K13" s="955"/>
      <c r="L13" s="955"/>
      <c r="M13" s="955"/>
      <c r="N13" s="955"/>
      <c r="O13" s="955"/>
      <c r="P13" s="955"/>
      <c r="Q13" s="955"/>
      <c r="R13" s="955"/>
      <c r="S13" s="955"/>
      <c r="T13" s="955"/>
      <c r="U13" s="36"/>
      <c r="V13" s="36"/>
      <c r="W13" s="36"/>
      <c r="X13" s="36"/>
      <c r="Y13" s="36"/>
    </row>
    <row r="14" spans="1:25" s="3" customFormat="1" ht="196.9" customHeight="1" x14ac:dyDescent="0.3">
      <c r="A14" s="980" t="s">
        <v>24</v>
      </c>
      <c r="B14" s="973" t="s">
        <v>25</v>
      </c>
      <c r="C14" s="974"/>
      <c r="D14" s="974"/>
      <c r="E14" s="975"/>
      <c r="F14" s="128" t="s">
        <v>986</v>
      </c>
      <c r="G14" s="129" t="s">
        <v>62</v>
      </c>
      <c r="H14" s="132">
        <v>76.5</v>
      </c>
      <c r="I14" s="132">
        <v>76.900000000000006</v>
      </c>
      <c r="J14" s="132">
        <v>77.5</v>
      </c>
      <c r="K14" s="132">
        <v>76.8</v>
      </c>
      <c r="L14" s="132">
        <v>76.2</v>
      </c>
      <c r="M14" s="132">
        <v>75.5</v>
      </c>
      <c r="N14" s="132">
        <v>74.900000000000006</v>
      </c>
      <c r="O14" s="132">
        <v>74.3</v>
      </c>
      <c r="P14" s="132">
        <v>75.900000000000006</v>
      </c>
      <c r="Q14" s="132">
        <v>76.8</v>
      </c>
      <c r="R14" s="132">
        <v>76.900000000000006</v>
      </c>
      <c r="S14" s="132">
        <v>75.599999999999994</v>
      </c>
      <c r="T14" s="132">
        <v>77</v>
      </c>
      <c r="U14" s="38"/>
      <c r="V14" s="38"/>
      <c r="W14" s="38"/>
      <c r="X14" s="38"/>
      <c r="Y14" s="38"/>
    </row>
    <row r="15" spans="1:25" s="3" customFormat="1" ht="192" x14ac:dyDescent="0.3">
      <c r="A15" s="981"/>
      <c r="B15" s="976"/>
      <c r="C15" s="977"/>
      <c r="D15" s="977"/>
      <c r="E15" s="978"/>
      <c r="F15" s="128" t="s">
        <v>991</v>
      </c>
      <c r="G15" s="129" t="s">
        <v>62</v>
      </c>
      <c r="H15" s="130">
        <v>100</v>
      </c>
      <c r="I15" s="130">
        <v>100</v>
      </c>
      <c r="J15" s="130">
        <v>100</v>
      </c>
      <c r="K15" s="130">
        <v>100</v>
      </c>
      <c r="L15" s="130">
        <v>100</v>
      </c>
      <c r="M15" s="130">
        <v>100</v>
      </c>
      <c r="N15" s="130">
        <v>100</v>
      </c>
      <c r="O15" s="130">
        <v>100</v>
      </c>
      <c r="P15" s="130">
        <v>100</v>
      </c>
      <c r="Q15" s="130">
        <v>100</v>
      </c>
      <c r="R15" s="130">
        <v>100</v>
      </c>
      <c r="S15" s="130">
        <v>100</v>
      </c>
      <c r="T15" s="130">
        <v>100</v>
      </c>
      <c r="U15" s="131"/>
      <c r="V15" s="131"/>
      <c r="W15" s="131"/>
      <c r="X15" s="131"/>
      <c r="Y15" s="131"/>
    </row>
    <row r="16" spans="1:25" s="6" customFormat="1" ht="144" x14ac:dyDescent="0.3">
      <c r="A16" s="229" t="s">
        <v>81</v>
      </c>
      <c r="B16" s="247" t="s">
        <v>27</v>
      </c>
      <c r="C16" s="233" t="s">
        <v>1023</v>
      </c>
      <c r="D16" s="263" t="s">
        <v>28</v>
      </c>
      <c r="E16" s="217" t="s">
        <v>29</v>
      </c>
      <c r="F16" s="39" t="s">
        <v>30</v>
      </c>
      <c r="G16" s="40" t="s">
        <v>31</v>
      </c>
      <c r="H16" s="257"/>
      <c r="I16" s="257"/>
      <c r="J16" s="257">
        <v>236</v>
      </c>
      <c r="K16" s="257"/>
      <c r="L16" s="257"/>
      <c r="M16" s="257"/>
      <c r="N16" s="257"/>
      <c r="O16" s="257"/>
      <c r="P16" s="257"/>
      <c r="Q16" s="257"/>
      <c r="R16" s="257"/>
      <c r="S16" s="257"/>
      <c r="T16" s="257"/>
      <c r="U16" s="225">
        <v>183078.7</v>
      </c>
      <c r="V16" s="226">
        <v>183078.7</v>
      </c>
      <c r="W16" s="226">
        <v>0</v>
      </c>
      <c r="X16" s="226">
        <v>0</v>
      </c>
      <c r="Y16" s="226">
        <v>0</v>
      </c>
    </row>
    <row r="17" spans="1:25" s="6" customFormat="1" ht="120" x14ac:dyDescent="0.3">
      <c r="A17" s="229" t="s">
        <v>50</v>
      </c>
      <c r="B17" s="247" t="s">
        <v>33</v>
      </c>
      <c r="C17" s="233" t="s">
        <v>1196</v>
      </c>
      <c r="D17" s="263" t="s">
        <v>28</v>
      </c>
      <c r="E17" s="217" t="s">
        <v>34</v>
      </c>
      <c r="F17" s="39" t="s">
        <v>30</v>
      </c>
      <c r="G17" s="40" t="s">
        <v>31</v>
      </c>
      <c r="H17" s="257"/>
      <c r="I17" s="257">
        <v>217</v>
      </c>
      <c r="J17" s="257"/>
      <c r="K17" s="257"/>
      <c r="L17" s="257"/>
      <c r="M17" s="257"/>
      <c r="N17" s="257"/>
      <c r="O17" s="257"/>
      <c r="P17" s="257"/>
      <c r="Q17" s="257"/>
      <c r="R17" s="257"/>
      <c r="S17" s="257"/>
      <c r="T17" s="257"/>
      <c r="U17" s="225">
        <v>60885.2</v>
      </c>
      <c r="V17" s="226">
        <v>60885.2</v>
      </c>
      <c r="W17" s="226">
        <v>0</v>
      </c>
      <c r="X17" s="226">
        <v>0</v>
      </c>
      <c r="Y17" s="226">
        <v>0</v>
      </c>
    </row>
    <row r="18" spans="1:25" s="6" customFormat="1" ht="120" x14ac:dyDescent="0.3">
      <c r="A18" s="229" t="s">
        <v>103</v>
      </c>
      <c r="B18" s="247" t="s">
        <v>38</v>
      </c>
      <c r="C18" s="233" t="s">
        <v>851</v>
      </c>
      <c r="D18" s="263" t="s">
        <v>28</v>
      </c>
      <c r="E18" s="217" t="s">
        <v>39</v>
      </c>
      <c r="F18" s="39" t="s">
        <v>30</v>
      </c>
      <c r="G18" s="40" t="s">
        <v>31</v>
      </c>
      <c r="H18" s="257"/>
      <c r="I18" s="257"/>
      <c r="J18" s="257"/>
      <c r="K18" s="257"/>
      <c r="L18" s="257"/>
      <c r="M18" s="257"/>
      <c r="N18" s="257"/>
      <c r="O18" s="257">
        <v>270</v>
      </c>
      <c r="P18" s="257"/>
      <c r="Q18" s="257"/>
      <c r="R18" s="257"/>
      <c r="S18" s="257"/>
      <c r="T18" s="257"/>
      <c r="U18" s="225">
        <v>260779.19999999998</v>
      </c>
      <c r="V18" s="226">
        <v>0</v>
      </c>
      <c r="W18" s="226">
        <v>0</v>
      </c>
      <c r="X18" s="226">
        <v>0</v>
      </c>
      <c r="Y18" s="226">
        <v>0</v>
      </c>
    </row>
    <row r="19" spans="1:25" s="6" customFormat="1" ht="147" x14ac:dyDescent="0.3">
      <c r="A19" s="229" t="s">
        <v>107</v>
      </c>
      <c r="B19" s="247" t="s">
        <v>33</v>
      </c>
      <c r="C19" s="233" t="s">
        <v>1198</v>
      </c>
      <c r="D19" s="263" t="s">
        <v>28</v>
      </c>
      <c r="E19" s="217" t="s">
        <v>41</v>
      </c>
      <c r="F19" s="39" t="s">
        <v>30</v>
      </c>
      <c r="G19" s="40" t="s">
        <v>31</v>
      </c>
      <c r="H19" s="257"/>
      <c r="I19" s="257"/>
      <c r="J19" s="257"/>
      <c r="K19" s="257"/>
      <c r="L19" s="257"/>
      <c r="M19" s="257"/>
      <c r="N19" s="257"/>
      <c r="O19" s="257"/>
      <c r="P19" s="257">
        <v>270</v>
      </c>
      <c r="Q19" s="257"/>
      <c r="R19" s="257"/>
      <c r="S19" s="257"/>
      <c r="T19" s="257"/>
      <c r="U19" s="225">
        <v>669135.6</v>
      </c>
      <c r="V19" s="226">
        <v>0</v>
      </c>
      <c r="W19" s="226">
        <v>0</v>
      </c>
      <c r="X19" s="226">
        <v>0</v>
      </c>
      <c r="Y19" s="226">
        <v>0</v>
      </c>
    </row>
    <row r="20" spans="1:25" s="6" customFormat="1" ht="120" x14ac:dyDescent="0.3">
      <c r="A20" s="229" t="s">
        <v>82</v>
      </c>
      <c r="B20" s="247" t="s">
        <v>27</v>
      </c>
      <c r="C20" s="247" t="s">
        <v>852</v>
      </c>
      <c r="D20" s="263" t="s">
        <v>28</v>
      </c>
      <c r="E20" s="217" t="s">
        <v>43</v>
      </c>
      <c r="F20" s="39" t="s">
        <v>30</v>
      </c>
      <c r="G20" s="40" t="s">
        <v>31</v>
      </c>
      <c r="H20" s="257"/>
      <c r="I20" s="257"/>
      <c r="J20" s="257"/>
      <c r="K20" s="257"/>
      <c r="L20" s="257"/>
      <c r="M20" s="257"/>
      <c r="N20" s="257"/>
      <c r="O20" s="257"/>
      <c r="P20" s="257"/>
      <c r="Q20" s="257"/>
      <c r="R20" s="257"/>
      <c r="S20" s="257"/>
      <c r="T20" s="257">
        <v>270</v>
      </c>
      <c r="U20" s="225">
        <v>702592.4</v>
      </c>
      <c r="V20" s="226">
        <v>0</v>
      </c>
      <c r="W20" s="226">
        <v>0</v>
      </c>
      <c r="X20" s="226">
        <v>0</v>
      </c>
      <c r="Y20" s="226">
        <v>0</v>
      </c>
    </row>
    <row r="21" spans="1:25" s="6" customFormat="1" ht="144" x14ac:dyDescent="0.3">
      <c r="A21" s="229" t="s">
        <v>89</v>
      </c>
      <c r="B21" s="247" t="s">
        <v>989</v>
      </c>
      <c r="C21" s="233" t="s">
        <v>1197</v>
      </c>
      <c r="D21" s="263" t="s">
        <v>28</v>
      </c>
      <c r="E21" s="217" t="s">
        <v>36</v>
      </c>
      <c r="F21" s="39" t="s">
        <v>990</v>
      </c>
      <c r="G21" s="40" t="s">
        <v>31</v>
      </c>
      <c r="H21" s="257"/>
      <c r="I21" s="257"/>
      <c r="J21" s="257"/>
      <c r="K21" s="257"/>
      <c r="L21" s="257">
        <v>125</v>
      </c>
      <c r="M21" s="257"/>
      <c r="N21" s="257"/>
      <c r="O21" s="257"/>
      <c r="P21" s="257"/>
      <c r="Q21" s="257"/>
      <c r="R21" s="257"/>
      <c r="S21" s="257"/>
      <c r="T21" s="257"/>
      <c r="U21" s="225">
        <v>392974.49999999994</v>
      </c>
      <c r="V21" s="226">
        <v>0</v>
      </c>
      <c r="W21" s="226">
        <v>0</v>
      </c>
      <c r="X21" s="226">
        <v>0</v>
      </c>
      <c r="Y21" s="226">
        <v>0</v>
      </c>
    </row>
    <row r="22" spans="1:25" s="6" customFormat="1" ht="134.25" customHeight="1" x14ac:dyDescent="0.3">
      <c r="A22" s="229" t="s">
        <v>63</v>
      </c>
      <c r="B22" s="247" t="s">
        <v>45</v>
      </c>
      <c r="C22" s="247" t="s">
        <v>1140</v>
      </c>
      <c r="D22" s="263" t="s">
        <v>28</v>
      </c>
      <c r="E22" s="262" t="s">
        <v>1438</v>
      </c>
      <c r="F22" s="39" t="s">
        <v>46</v>
      </c>
      <c r="G22" s="40" t="s">
        <v>31</v>
      </c>
      <c r="H22" s="257"/>
      <c r="I22" s="257"/>
      <c r="J22" s="257"/>
      <c r="K22" s="257"/>
      <c r="L22" s="257"/>
      <c r="M22" s="257"/>
      <c r="N22" s="257"/>
      <c r="O22" s="257"/>
      <c r="P22" s="257"/>
      <c r="Q22" s="257">
        <v>1050</v>
      </c>
      <c r="R22" s="257"/>
      <c r="S22" s="257"/>
      <c r="T22" s="257"/>
      <c r="U22" s="225">
        <v>1096044.5999999999</v>
      </c>
      <c r="V22" s="226">
        <v>16383.9</v>
      </c>
      <c r="W22" s="226">
        <v>0</v>
      </c>
      <c r="X22" s="226">
        <v>0</v>
      </c>
      <c r="Y22" s="226">
        <v>0</v>
      </c>
    </row>
    <row r="23" spans="1:25" s="6" customFormat="1" ht="192" x14ac:dyDescent="0.3">
      <c r="A23" s="229" t="s">
        <v>66</v>
      </c>
      <c r="B23" s="243" t="s">
        <v>1208</v>
      </c>
      <c r="C23" s="41" t="s">
        <v>48</v>
      </c>
      <c r="D23" s="42" t="s">
        <v>1145</v>
      </c>
      <c r="E23" s="257" t="s">
        <v>49</v>
      </c>
      <c r="F23" s="39"/>
      <c r="G23" s="133"/>
      <c r="H23" s="257"/>
      <c r="I23" s="257"/>
      <c r="J23" s="257"/>
      <c r="K23" s="257"/>
      <c r="L23" s="257"/>
      <c r="M23" s="257"/>
      <c r="N23" s="257"/>
      <c r="O23" s="257"/>
      <c r="P23" s="257"/>
      <c r="Q23" s="257"/>
      <c r="R23" s="257"/>
      <c r="S23" s="257"/>
      <c r="T23" s="257"/>
      <c r="U23" s="230">
        <v>0</v>
      </c>
      <c r="V23" s="258">
        <v>0</v>
      </c>
      <c r="W23" s="258">
        <v>0</v>
      </c>
      <c r="X23" s="258">
        <v>0</v>
      </c>
      <c r="Y23" s="258">
        <v>0</v>
      </c>
    </row>
    <row r="24" spans="1:25" s="6" customFormat="1" ht="88.5" customHeight="1" x14ac:dyDescent="0.3">
      <c r="A24" s="229" t="s">
        <v>75</v>
      </c>
      <c r="B24" s="242" t="s">
        <v>51</v>
      </c>
      <c r="C24" s="243" t="s">
        <v>868</v>
      </c>
      <c r="D24" s="257" t="s">
        <v>814</v>
      </c>
      <c r="E24" s="257" t="s">
        <v>52</v>
      </c>
      <c r="F24" s="245" t="s">
        <v>53</v>
      </c>
      <c r="G24" s="257" t="s">
        <v>54</v>
      </c>
      <c r="H24" s="257">
        <v>31</v>
      </c>
      <c r="I24" s="257">
        <v>37</v>
      </c>
      <c r="J24" s="257">
        <v>37</v>
      </c>
      <c r="K24" s="257">
        <v>37</v>
      </c>
      <c r="L24" s="257">
        <v>37</v>
      </c>
      <c r="M24" s="257">
        <v>37</v>
      </c>
      <c r="N24" s="257">
        <v>37</v>
      </c>
      <c r="O24" s="257">
        <v>37</v>
      </c>
      <c r="P24" s="257">
        <v>37</v>
      </c>
      <c r="Q24" s="257">
        <v>37</v>
      </c>
      <c r="R24" s="257">
        <v>37</v>
      </c>
      <c r="S24" s="257">
        <v>37</v>
      </c>
      <c r="T24" s="257">
        <v>37</v>
      </c>
      <c r="U24" s="230">
        <v>196994.40000000005</v>
      </c>
      <c r="V24" s="258">
        <v>0</v>
      </c>
      <c r="W24" s="258">
        <v>0</v>
      </c>
      <c r="X24" s="258">
        <v>0</v>
      </c>
      <c r="Y24" s="258">
        <v>196994.40000000005</v>
      </c>
    </row>
    <row r="25" spans="1:25" s="6" customFormat="1" ht="144" x14ac:dyDescent="0.3">
      <c r="A25" s="229" t="s">
        <v>77</v>
      </c>
      <c r="B25" s="243" t="s">
        <v>56</v>
      </c>
      <c r="C25" s="243" t="s">
        <v>57</v>
      </c>
      <c r="D25" s="257" t="s">
        <v>814</v>
      </c>
      <c r="E25" s="257" t="s">
        <v>52</v>
      </c>
      <c r="F25" s="245" t="s">
        <v>980</v>
      </c>
      <c r="G25" s="40" t="s">
        <v>58</v>
      </c>
      <c r="H25" s="43">
        <v>60</v>
      </c>
      <c r="I25" s="43">
        <v>80</v>
      </c>
      <c r="J25" s="43">
        <v>80</v>
      </c>
      <c r="K25" s="43">
        <v>80</v>
      </c>
      <c r="L25" s="43">
        <v>90</v>
      </c>
      <c r="M25" s="43">
        <v>90</v>
      </c>
      <c r="N25" s="43">
        <v>90</v>
      </c>
      <c r="O25" s="43">
        <v>95</v>
      </c>
      <c r="P25" s="43">
        <v>95</v>
      </c>
      <c r="Q25" s="43">
        <v>95</v>
      </c>
      <c r="R25" s="43">
        <v>100</v>
      </c>
      <c r="S25" s="43">
        <v>100</v>
      </c>
      <c r="T25" s="43">
        <v>100</v>
      </c>
      <c r="U25" s="230">
        <v>116830.79999999997</v>
      </c>
      <c r="V25" s="258">
        <v>0</v>
      </c>
      <c r="W25" s="258">
        <v>116830.79999999997</v>
      </c>
      <c r="X25" s="258">
        <v>0</v>
      </c>
      <c r="Y25" s="258">
        <v>0</v>
      </c>
    </row>
    <row r="26" spans="1:25" s="6" customFormat="1" ht="168" x14ac:dyDescent="0.3">
      <c r="A26" s="229" t="s">
        <v>69</v>
      </c>
      <c r="B26" s="242" t="s">
        <v>60</v>
      </c>
      <c r="C26" s="242" t="s">
        <v>61</v>
      </c>
      <c r="D26" s="257" t="s">
        <v>814</v>
      </c>
      <c r="E26" s="257" t="s">
        <v>52</v>
      </c>
      <c r="F26" s="39" t="s">
        <v>981</v>
      </c>
      <c r="G26" s="40" t="s">
        <v>62</v>
      </c>
      <c r="H26" s="257">
        <v>80</v>
      </c>
      <c r="I26" s="257">
        <v>80</v>
      </c>
      <c r="J26" s="257">
        <v>80</v>
      </c>
      <c r="K26" s="257">
        <v>80</v>
      </c>
      <c r="L26" s="257">
        <v>90</v>
      </c>
      <c r="M26" s="257">
        <v>90</v>
      </c>
      <c r="N26" s="257">
        <v>90</v>
      </c>
      <c r="O26" s="257">
        <v>95</v>
      </c>
      <c r="P26" s="257">
        <v>95</v>
      </c>
      <c r="Q26" s="257">
        <v>95</v>
      </c>
      <c r="R26" s="257">
        <v>100</v>
      </c>
      <c r="S26" s="257">
        <v>100</v>
      </c>
      <c r="T26" s="257">
        <v>100</v>
      </c>
      <c r="U26" s="230">
        <v>7372.7999999999984</v>
      </c>
      <c r="V26" s="258">
        <v>0</v>
      </c>
      <c r="W26" s="258">
        <v>7372.7999999999984</v>
      </c>
      <c r="X26" s="258">
        <v>0</v>
      </c>
      <c r="Y26" s="258">
        <v>0</v>
      </c>
    </row>
    <row r="27" spans="1:25" s="6" customFormat="1" ht="168" x14ac:dyDescent="0.3">
      <c r="A27" s="229" t="s">
        <v>1245</v>
      </c>
      <c r="B27" s="242" t="s">
        <v>64</v>
      </c>
      <c r="C27" s="243" t="s">
        <v>65</v>
      </c>
      <c r="D27" s="257" t="s">
        <v>814</v>
      </c>
      <c r="E27" s="257" t="s">
        <v>52</v>
      </c>
      <c r="F27" s="245" t="s">
        <v>974</v>
      </c>
      <c r="G27" s="40" t="s">
        <v>62</v>
      </c>
      <c r="H27" s="44">
        <f>11/39*100</f>
        <v>28.205128205128204</v>
      </c>
      <c r="I27" s="44">
        <f>27/37*100</f>
        <v>72.972972972972968</v>
      </c>
      <c r="J27" s="44">
        <f>28/37*100</f>
        <v>75.675675675675677</v>
      </c>
      <c r="K27" s="44">
        <f>37/37*100</f>
        <v>100</v>
      </c>
      <c r="L27" s="44">
        <f t="shared" ref="L27:T28" si="0">37/37*100</f>
        <v>100</v>
      </c>
      <c r="M27" s="44">
        <f t="shared" si="0"/>
        <v>100</v>
      </c>
      <c r="N27" s="44">
        <f t="shared" si="0"/>
        <v>100</v>
      </c>
      <c r="O27" s="44">
        <f t="shared" si="0"/>
        <v>100</v>
      </c>
      <c r="P27" s="44">
        <f t="shared" si="0"/>
        <v>100</v>
      </c>
      <c r="Q27" s="44">
        <f t="shared" si="0"/>
        <v>100</v>
      </c>
      <c r="R27" s="44">
        <f t="shared" si="0"/>
        <v>100</v>
      </c>
      <c r="S27" s="44">
        <f t="shared" si="0"/>
        <v>100</v>
      </c>
      <c r="T27" s="44">
        <f t="shared" si="0"/>
        <v>100</v>
      </c>
      <c r="U27" s="773">
        <v>108844.90000000002</v>
      </c>
      <c r="V27" s="791">
        <v>2196</v>
      </c>
      <c r="W27" s="791">
        <v>106648.90000000002</v>
      </c>
      <c r="X27" s="791">
        <v>0</v>
      </c>
      <c r="Y27" s="791">
        <v>0</v>
      </c>
    </row>
    <row r="28" spans="1:25" s="6" customFormat="1" ht="120" x14ac:dyDescent="0.3">
      <c r="A28" s="229" t="s">
        <v>71</v>
      </c>
      <c r="B28" s="242" t="s">
        <v>67</v>
      </c>
      <c r="C28" s="243" t="s">
        <v>68</v>
      </c>
      <c r="D28" s="257" t="s">
        <v>814</v>
      </c>
      <c r="E28" s="257" t="s">
        <v>52</v>
      </c>
      <c r="F28" s="245" t="s">
        <v>974</v>
      </c>
      <c r="G28" s="40" t="s">
        <v>62</v>
      </c>
      <c r="H28" s="44">
        <f>11/39*100</f>
        <v>28.205128205128204</v>
      </c>
      <c r="I28" s="44">
        <f>27/37*100</f>
        <v>72.972972972972968</v>
      </c>
      <c r="J28" s="44">
        <f>28/37*100</f>
        <v>75.675675675675677</v>
      </c>
      <c r="K28" s="44">
        <f>37/37*100</f>
        <v>100</v>
      </c>
      <c r="L28" s="44">
        <f t="shared" si="0"/>
        <v>100</v>
      </c>
      <c r="M28" s="44">
        <f t="shared" si="0"/>
        <v>100</v>
      </c>
      <c r="N28" s="44">
        <f t="shared" si="0"/>
        <v>100</v>
      </c>
      <c r="O28" s="44">
        <f t="shared" si="0"/>
        <v>100</v>
      </c>
      <c r="P28" s="44">
        <f t="shared" si="0"/>
        <v>100</v>
      </c>
      <c r="Q28" s="44">
        <f t="shared" si="0"/>
        <v>100</v>
      </c>
      <c r="R28" s="44">
        <f t="shared" si="0"/>
        <v>100</v>
      </c>
      <c r="S28" s="44">
        <f t="shared" si="0"/>
        <v>100</v>
      </c>
      <c r="T28" s="44">
        <f t="shared" si="0"/>
        <v>100</v>
      </c>
      <c r="U28" s="799"/>
      <c r="V28" s="795"/>
      <c r="W28" s="795"/>
      <c r="X28" s="795"/>
      <c r="Y28" s="795"/>
    </row>
    <row r="29" spans="1:25" s="6" customFormat="1" ht="148.5" customHeight="1" x14ac:dyDescent="0.3">
      <c r="A29" s="229" t="s">
        <v>55</v>
      </c>
      <c r="B29" s="242" t="s">
        <v>70</v>
      </c>
      <c r="C29" s="243" t="s">
        <v>1024</v>
      </c>
      <c r="D29" s="257" t="s">
        <v>814</v>
      </c>
      <c r="E29" s="257" t="s">
        <v>52</v>
      </c>
      <c r="F29" s="245" t="s">
        <v>978</v>
      </c>
      <c r="G29" s="40" t="s">
        <v>62</v>
      </c>
      <c r="H29" s="257">
        <v>0</v>
      </c>
      <c r="I29" s="257">
        <v>80</v>
      </c>
      <c r="J29" s="257">
        <v>100</v>
      </c>
      <c r="K29" s="257">
        <v>100</v>
      </c>
      <c r="L29" s="257">
        <v>100</v>
      </c>
      <c r="M29" s="257">
        <v>100</v>
      </c>
      <c r="N29" s="257">
        <v>100</v>
      </c>
      <c r="O29" s="257">
        <v>100</v>
      </c>
      <c r="P29" s="257">
        <v>100</v>
      </c>
      <c r="Q29" s="257">
        <v>100</v>
      </c>
      <c r="R29" s="257">
        <v>100</v>
      </c>
      <c r="S29" s="257">
        <v>100</v>
      </c>
      <c r="T29" s="257">
        <v>100</v>
      </c>
      <c r="U29" s="799"/>
      <c r="V29" s="795"/>
      <c r="W29" s="795"/>
      <c r="X29" s="795"/>
      <c r="Y29" s="795"/>
    </row>
    <row r="30" spans="1:25" s="6" customFormat="1" ht="144" x14ac:dyDescent="0.3">
      <c r="A30" s="229" t="s">
        <v>79</v>
      </c>
      <c r="B30" s="243" t="s">
        <v>1041</v>
      </c>
      <c r="C30" s="243" t="s">
        <v>72</v>
      </c>
      <c r="D30" s="257" t="s">
        <v>73</v>
      </c>
      <c r="E30" s="257" t="s">
        <v>52</v>
      </c>
      <c r="F30" s="45" t="s">
        <v>979</v>
      </c>
      <c r="G30" s="40" t="s">
        <v>62</v>
      </c>
      <c r="H30" s="43">
        <v>0</v>
      </c>
      <c r="I30" s="43">
        <v>10</v>
      </c>
      <c r="J30" s="43">
        <v>10</v>
      </c>
      <c r="K30" s="43">
        <v>10</v>
      </c>
      <c r="L30" s="43">
        <v>10</v>
      </c>
      <c r="M30" s="43">
        <v>10</v>
      </c>
      <c r="N30" s="43">
        <v>10</v>
      </c>
      <c r="O30" s="43">
        <v>5</v>
      </c>
      <c r="P30" s="43">
        <v>5</v>
      </c>
      <c r="Q30" s="43">
        <v>5</v>
      </c>
      <c r="R30" s="43">
        <v>3</v>
      </c>
      <c r="S30" s="43">
        <v>2</v>
      </c>
      <c r="T30" s="43">
        <v>2</v>
      </c>
      <c r="U30" s="799"/>
      <c r="V30" s="795"/>
      <c r="W30" s="795"/>
      <c r="X30" s="795"/>
      <c r="Y30" s="795"/>
    </row>
    <row r="31" spans="1:25" s="6" customFormat="1" ht="72" x14ac:dyDescent="0.3">
      <c r="A31" s="229" t="s">
        <v>59</v>
      </c>
      <c r="B31" s="242" t="s">
        <v>76</v>
      </c>
      <c r="C31" s="243" t="s">
        <v>977</v>
      </c>
      <c r="D31" s="257" t="s">
        <v>814</v>
      </c>
      <c r="E31" s="257" t="s">
        <v>52</v>
      </c>
      <c r="F31" s="245" t="s">
        <v>976</v>
      </c>
      <c r="G31" s="40" t="s">
        <v>62</v>
      </c>
      <c r="H31" s="257">
        <v>5</v>
      </c>
      <c r="I31" s="257">
        <v>5</v>
      </c>
      <c r="J31" s="257">
        <v>8</v>
      </c>
      <c r="K31" s="257">
        <v>10</v>
      </c>
      <c r="L31" s="257">
        <v>12</v>
      </c>
      <c r="M31" s="257">
        <v>15</v>
      </c>
      <c r="N31" s="257">
        <v>18</v>
      </c>
      <c r="O31" s="257">
        <v>20</v>
      </c>
      <c r="P31" s="257">
        <v>22</v>
      </c>
      <c r="Q31" s="257">
        <v>24</v>
      </c>
      <c r="R31" s="257">
        <v>26</v>
      </c>
      <c r="S31" s="257">
        <v>28</v>
      </c>
      <c r="T31" s="257">
        <v>30</v>
      </c>
      <c r="U31" s="799"/>
      <c r="V31" s="795"/>
      <c r="W31" s="795"/>
      <c r="X31" s="795"/>
      <c r="Y31" s="795"/>
    </row>
    <row r="32" spans="1:25" s="6" customFormat="1" ht="168" x14ac:dyDescent="0.3">
      <c r="A32" s="229" t="s">
        <v>92</v>
      </c>
      <c r="B32" s="242" t="s">
        <v>1205</v>
      </c>
      <c r="C32" s="243" t="s">
        <v>78</v>
      </c>
      <c r="D32" s="257" t="s">
        <v>814</v>
      </c>
      <c r="E32" s="257" t="s">
        <v>52</v>
      </c>
      <c r="F32" s="245" t="s">
        <v>975</v>
      </c>
      <c r="G32" s="40" t="s">
        <v>62</v>
      </c>
      <c r="H32" s="257">
        <v>0</v>
      </c>
      <c r="I32" s="257">
        <v>100</v>
      </c>
      <c r="J32" s="257">
        <v>100</v>
      </c>
      <c r="K32" s="257">
        <v>100</v>
      </c>
      <c r="L32" s="257">
        <v>100</v>
      </c>
      <c r="M32" s="257">
        <v>100</v>
      </c>
      <c r="N32" s="257">
        <v>100</v>
      </c>
      <c r="O32" s="257">
        <v>100</v>
      </c>
      <c r="P32" s="257">
        <v>100</v>
      </c>
      <c r="Q32" s="257">
        <v>100</v>
      </c>
      <c r="R32" s="257">
        <v>100</v>
      </c>
      <c r="S32" s="257">
        <v>100</v>
      </c>
      <c r="T32" s="257">
        <v>100</v>
      </c>
      <c r="U32" s="774"/>
      <c r="V32" s="792"/>
      <c r="W32" s="792"/>
      <c r="X32" s="792"/>
      <c r="Y32" s="792"/>
    </row>
    <row r="33" spans="1:25" s="6" customFormat="1" ht="336" x14ac:dyDescent="0.3">
      <c r="A33" s="229" t="s">
        <v>96</v>
      </c>
      <c r="B33" s="242" t="s">
        <v>80</v>
      </c>
      <c r="C33" s="242" t="s">
        <v>1025</v>
      </c>
      <c r="D33" s="217" t="s">
        <v>73</v>
      </c>
      <c r="E33" s="257" t="s">
        <v>52</v>
      </c>
      <c r="F33" s="46" t="s">
        <v>1026</v>
      </c>
      <c r="G33" s="40" t="s">
        <v>62</v>
      </c>
      <c r="H33" s="257">
        <v>99</v>
      </c>
      <c r="I33" s="257">
        <v>100</v>
      </c>
      <c r="J33" s="257">
        <v>100</v>
      </c>
      <c r="K33" s="257">
        <v>100</v>
      </c>
      <c r="L33" s="257">
        <v>100</v>
      </c>
      <c r="M33" s="257">
        <v>100</v>
      </c>
      <c r="N33" s="257">
        <v>100</v>
      </c>
      <c r="O33" s="257">
        <v>100</v>
      </c>
      <c r="P33" s="257">
        <v>100</v>
      </c>
      <c r="Q33" s="257">
        <v>100</v>
      </c>
      <c r="R33" s="257">
        <v>100</v>
      </c>
      <c r="S33" s="257">
        <v>100</v>
      </c>
      <c r="T33" s="257">
        <v>100</v>
      </c>
      <c r="U33" s="230">
        <v>12116.400000000001</v>
      </c>
      <c r="V33" s="258">
        <v>0</v>
      </c>
      <c r="W33" s="258">
        <v>12116.400000000001</v>
      </c>
      <c r="X33" s="258">
        <v>0</v>
      </c>
      <c r="Y33" s="258">
        <v>0</v>
      </c>
    </row>
    <row r="34" spans="1:25" s="6" customFormat="1" ht="120" x14ac:dyDescent="0.3">
      <c r="A34" s="47" t="s">
        <v>100</v>
      </c>
      <c r="B34" s="243" t="s">
        <v>930</v>
      </c>
      <c r="C34" s="243" t="s">
        <v>1204</v>
      </c>
      <c r="D34" s="257" t="s">
        <v>139</v>
      </c>
      <c r="E34" s="257" t="s">
        <v>52</v>
      </c>
      <c r="F34" s="245" t="s">
        <v>1088</v>
      </c>
      <c r="G34" s="257" t="s">
        <v>931</v>
      </c>
      <c r="H34" s="257">
        <v>42</v>
      </c>
      <c r="I34" s="257">
        <v>67</v>
      </c>
      <c r="J34" s="257">
        <v>67</v>
      </c>
      <c r="K34" s="257">
        <v>67</v>
      </c>
      <c r="L34" s="257">
        <v>67</v>
      </c>
      <c r="M34" s="257">
        <v>67</v>
      </c>
      <c r="N34" s="257">
        <v>67</v>
      </c>
      <c r="O34" s="257">
        <v>67</v>
      </c>
      <c r="P34" s="257">
        <v>67</v>
      </c>
      <c r="Q34" s="257">
        <v>67</v>
      </c>
      <c r="R34" s="257">
        <v>67</v>
      </c>
      <c r="S34" s="257">
        <v>67</v>
      </c>
      <c r="T34" s="257">
        <v>67</v>
      </c>
      <c r="U34" s="230">
        <v>42861.600000000006</v>
      </c>
      <c r="V34" s="258">
        <v>38055.599999999999</v>
      </c>
      <c r="W34" s="258">
        <v>0</v>
      </c>
      <c r="X34" s="258">
        <v>0</v>
      </c>
      <c r="Y34" s="258">
        <v>0</v>
      </c>
    </row>
    <row r="35" spans="1:25" s="6" customFormat="1" ht="144" x14ac:dyDescent="0.3">
      <c r="A35" s="229" t="s">
        <v>1246</v>
      </c>
      <c r="B35" s="242" t="s">
        <v>1019</v>
      </c>
      <c r="C35" s="242" t="s">
        <v>853</v>
      </c>
      <c r="D35" s="42" t="s">
        <v>28</v>
      </c>
      <c r="E35" s="257" t="s">
        <v>84</v>
      </c>
      <c r="F35" s="39" t="s">
        <v>85</v>
      </c>
      <c r="G35" s="40" t="s">
        <v>62</v>
      </c>
      <c r="H35" s="257">
        <v>93</v>
      </c>
      <c r="I35" s="257">
        <v>96.9</v>
      </c>
      <c r="J35" s="257">
        <v>96.9</v>
      </c>
      <c r="K35" s="257">
        <v>96.9</v>
      </c>
      <c r="L35" s="257">
        <v>96.9</v>
      </c>
      <c r="M35" s="257">
        <v>96.9</v>
      </c>
      <c r="N35" s="257">
        <v>96.9</v>
      </c>
      <c r="O35" s="257">
        <v>96.9</v>
      </c>
      <c r="P35" s="257">
        <v>96.9</v>
      </c>
      <c r="Q35" s="257">
        <v>96.9</v>
      </c>
      <c r="R35" s="257">
        <v>96.9</v>
      </c>
      <c r="S35" s="257">
        <v>96.9</v>
      </c>
      <c r="T35" s="257">
        <v>96.9</v>
      </c>
      <c r="U35" s="230">
        <v>575423.4</v>
      </c>
      <c r="V35" s="258">
        <v>0</v>
      </c>
      <c r="W35" s="258">
        <v>0</v>
      </c>
      <c r="X35" s="258">
        <v>0</v>
      </c>
      <c r="Y35" s="258">
        <v>0</v>
      </c>
    </row>
    <row r="36" spans="1:25" s="6" customFormat="1" ht="192" x14ac:dyDescent="0.3">
      <c r="A36" s="229" t="s">
        <v>1247</v>
      </c>
      <c r="B36" s="242" t="s">
        <v>1203</v>
      </c>
      <c r="C36" s="243" t="s">
        <v>854</v>
      </c>
      <c r="D36" s="42" t="s">
        <v>28</v>
      </c>
      <c r="E36" s="257" t="s">
        <v>87</v>
      </c>
      <c r="F36" s="39" t="s">
        <v>85</v>
      </c>
      <c r="G36" s="40" t="s">
        <v>62</v>
      </c>
      <c r="H36" s="257">
        <v>93</v>
      </c>
      <c r="I36" s="257">
        <v>96.9</v>
      </c>
      <c r="J36" s="257">
        <v>96.9</v>
      </c>
      <c r="K36" s="257">
        <v>96.9</v>
      </c>
      <c r="L36" s="257">
        <v>96.9</v>
      </c>
      <c r="M36" s="257">
        <v>96.9</v>
      </c>
      <c r="N36" s="257">
        <v>96.9</v>
      </c>
      <c r="O36" s="257">
        <v>96.9</v>
      </c>
      <c r="P36" s="257">
        <v>96.9</v>
      </c>
      <c r="Q36" s="257">
        <v>96.9</v>
      </c>
      <c r="R36" s="257">
        <v>96.9</v>
      </c>
      <c r="S36" s="257">
        <v>96.9</v>
      </c>
      <c r="T36" s="257">
        <v>96.9</v>
      </c>
      <c r="U36" s="230">
        <v>548022.30000000005</v>
      </c>
      <c r="V36" s="258">
        <v>0</v>
      </c>
      <c r="W36" s="258">
        <v>0</v>
      </c>
      <c r="X36" s="258">
        <v>0</v>
      </c>
      <c r="Y36" s="258">
        <v>0</v>
      </c>
    </row>
    <row r="37" spans="1:25" s="6" customFormat="1" ht="71.25" customHeight="1" x14ac:dyDescent="0.3">
      <c r="A37" s="796" t="s">
        <v>26</v>
      </c>
      <c r="B37" s="804" t="s">
        <v>1439</v>
      </c>
      <c r="C37" s="859" t="s">
        <v>1020</v>
      </c>
      <c r="D37" s="814" t="s">
        <v>28</v>
      </c>
      <c r="E37" s="728" t="s">
        <v>43</v>
      </c>
      <c r="F37" s="245" t="s">
        <v>993</v>
      </c>
      <c r="G37" s="257" t="s">
        <v>31</v>
      </c>
      <c r="H37" s="257"/>
      <c r="I37" s="257"/>
      <c r="J37" s="257"/>
      <c r="K37" s="257"/>
      <c r="L37" s="257"/>
      <c r="M37" s="257"/>
      <c r="N37" s="257"/>
      <c r="O37" s="257"/>
      <c r="P37" s="257"/>
      <c r="Q37" s="257"/>
      <c r="R37" s="257"/>
      <c r="S37" s="257"/>
      <c r="T37" s="257">
        <v>1</v>
      </c>
      <c r="U37" s="773">
        <v>153000</v>
      </c>
      <c r="V37" s="791">
        <v>0</v>
      </c>
      <c r="W37" s="791">
        <v>0</v>
      </c>
      <c r="X37" s="791">
        <v>0</v>
      </c>
      <c r="Y37" s="791">
        <v>0</v>
      </c>
    </row>
    <row r="38" spans="1:25" s="6" customFormat="1" ht="249" customHeight="1" x14ac:dyDescent="0.3">
      <c r="A38" s="797"/>
      <c r="B38" s="805"/>
      <c r="C38" s="861"/>
      <c r="D38" s="815"/>
      <c r="E38" s="729"/>
      <c r="F38" s="245" t="s">
        <v>992</v>
      </c>
      <c r="G38" s="257" t="s">
        <v>62</v>
      </c>
      <c r="H38" s="257"/>
      <c r="I38" s="257"/>
      <c r="J38" s="257"/>
      <c r="K38" s="257"/>
      <c r="L38" s="257"/>
      <c r="M38" s="257"/>
      <c r="N38" s="257"/>
      <c r="O38" s="257"/>
      <c r="P38" s="257"/>
      <c r="Q38" s="257"/>
      <c r="R38" s="257"/>
      <c r="S38" s="257"/>
      <c r="T38" s="257">
        <v>10</v>
      </c>
      <c r="U38" s="774"/>
      <c r="V38" s="792"/>
      <c r="W38" s="792"/>
      <c r="X38" s="792"/>
      <c r="Y38" s="792"/>
    </row>
    <row r="39" spans="1:25" s="6" customFormat="1" ht="409.5" customHeight="1" x14ac:dyDescent="0.3">
      <c r="A39" s="796" t="s">
        <v>32</v>
      </c>
      <c r="B39" s="830" t="s">
        <v>1028</v>
      </c>
      <c r="C39" s="817" t="s">
        <v>90</v>
      </c>
      <c r="D39" s="728" t="s">
        <v>814</v>
      </c>
      <c r="E39" s="728" t="s">
        <v>91</v>
      </c>
      <c r="F39" s="817" t="s">
        <v>973</v>
      </c>
      <c r="G39" s="728" t="s">
        <v>62</v>
      </c>
      <c r="H39" s="728">
        <v>0</v>
      </c>
      <c r="I39" s="728">
        <v>0</v>
      </c>
      <c r="J39" s="728">
        <v>100</v>
      </c>
      <c r="K39" s="728">
        <v>100</v>
      </c>
      <c r="L39" s="728">
        <v>100</v>
      </c>
      <c r="M39" s="728">
        <v>100</v>
      </c>
      <c r="N39" s="728">
        <v>100</v>
      </c>
      <c r="O39" s="728">
        <v>100</v>
      </c>
      <c r="P39" s="728">
        <v>100</v>
      </c>
      <c r="Q39" s="728">
        <v>100</v>
      </c>
      <c r="R39" s="728">
        <v>100</v>
      </c>
      <c r="S39" s="728">
        <v>100</v>
      </c>
      <c r="T39" s="728">
        <v>100</v>
      </c>
      <c r="U39" s="773">
        <v>6000</v>
      </c>
      <c r="V39" s="791">
        <v>0</v>
      </c>
      <c r="W39" s="791">
        <v>0</v>
      </c>
      <c r="X39" s="791">
        <v>0</v>
      </c>
      <c r="Y39" s="791">
        <v>0</v>
      </c>
    </row>
    <row r="40" spans="1:25" s="6" customFormat="1" ht="106.5" customHeight="1" x14ac:dyDescent="0.3">
      <c r="A40" s="797"/>
      <c r="B40" s="831"/>
      <c r="C40" s="818"/>
      <c r="D40" s="729"/>
      <c r="E40" s="729"/>
      <c r="F40" s="818"/>
      <c r="G40" s="729"/>
      <c r="H40" s="729"/>
      <c r="I40" s="729"/>
      <c r="J40" s="729"/>
      <c r="K40" s="729"/>
      <c r="L40" s="729"/>
      <c r="M40" s="729"/>
      <c r="N40" s="729"/>
      <c r="O40" s="729"/>
      <c r="P40" s="729"/>
      <c r="Q40" s="729"/>
      <c r="R40" s="729"/>
      <c r="S40" s="729"/>
      <c r="T40" s="729"/>
      <c r="U40" s="774"/>
      <c r="V40" s="792"/>
      <c r="W40" s="792"/>
      <c r="X40" s="792"/>
      <c r="Y40" s="792"/>
    </row>
    <row r="41" spans="1:25" s="6" customFormat="1" ht="72" x14ac:dyDescent="0.3">
      <c r="A41" s="796" t="s">
        <v>35</v>
      </c>
      <c r="B41" s="804" t="s">
        <v>93</v>
      </c>
      <c r="C41" s="243" t="s">
        <v>1259</v>
      </c>
      <c r="D41" s="728" t="s">
        <v>94</v>
      </c>
      <c r="E41" s="728" t="s">
        <v>95</v>
      </c>
      <c r="F41" s="245" t="s">
        <v>53</v>
      </c>
      <c r="G41" s="257" t="s">
        <v>54</v>
      </c>
      <c r="H41" s="257">
        <v>40</v>
      </c>
      <c r="I41" s="257">
        <v>37</v>
      </c>
      <c r="J41" s="257">
        <v>37</v>
      </c>
      <c r="K41" s="257">
        <v>37</v>
      </c>
      <c r="L41" s="257">
        <v>37</v>
      </c>
      <c r="M41" s="257">
        <v>37</v>
      </c>
      <c r="N41" s="257">
        <v>37</v>
      </c>
      <c r="O41" s="257">
        <v>37</v>
      </c>
      <c r="P41" s="257">
        <v>37</v>
      </c>
      <c r="Q41" s="257">
        <v>37</v>
      </c>
      <c r="R41" s="257">
        <v>37</v>
      </c>
      <c r="S41" s="257">
        <v>37</v>
      </c>
      <c r="T41" s="257">
        <v>37</v>
      </c>
      <c r="U41" s="230">
        <v>0</v>
      </c>
      <c r="V41" s="258">
        <v>0</v>
      </c>
      <c r="W41" s="258">
        <v>0</v>
      </c>
      <c r="X41" s="258">
        <v>0</v>
      </c>
      <c r="Y41" s="258">
        <v>0</v>
      </c>
    </row>
    <row r="42" spans="1:25" s="6" customFormat="1" ht="96" x14ac:dyDescent="0.3">
      <c r="A42" s="851"/>
      <c r="B42" s="852"/>
      <c r="C42" s="243" t="s">
        <v>1260</v>
      </c>
      <c r="D42" s="734"/>
      <c r="E42" s="734"/>
      <c r="F42" s="245" t="s">
        <v>53</v>
      </c>
      <c r="G42" s="257" t="s">
        <v>54</v>
      </c>
      <c r="H42" s="257">
        <v>3</v>
      </c>
      <c r="I42" s="257">
        <v>3</v>
      </c>
      <c r="J42" s="257">
        <v>3</v>
      </c>
      <c r="K42" s="257">
        <v>3</v>
      </c>
      <c r="L42" s="257">
        <v>3</v>
      </c>
      <c r="M42" s="257">
        <v>3</v>
      </c>
      <c r="N42" s="257">
        <v>3</v>
      </c>
      <c r="O42" s="257">
        <v>3</v>
      </c>
      <c r="P42" s="257">
        <v>3</v>
      </c>
      <c r="Q42" s="257">
        <v>3</v>
      </c>
      <c r="R42" s="257">
        <v>3</v>
      </c>
      <c r="S42" s="257">
        <v>3</v>
      </c>
      <c r="T42" s="257">
        <v>3</v>
      </c>
      <c r="U42" s="230">
        <v>0</v>
      </c>
      <c r="V42" s="258">
        <v>0</v>
      </c>
      <c r="W42" s="258">
        <v>0</v>
      </c>
      <c r="X42" s="258">
        <v>0</v>
      </c>
      <c r="Y42" s="258">
        <v>0</v>
      </c>
    </row>
    <row r="43" spans="1:25" s="6" customFormat="1" ht="72" x14ac:dyDescent="0.3">
      <c r="A43" s="851"/>
      <c r="B43" s="852"/>
      <c r="C43" s="243" t="s">
        <v>1261</v>
      </c>
      <c r="D43" s="734"/>
      <c r="E43" s="734"/>
      <c r="F43" s="245" t="s">
        <v>53</v>
      </c>
      <c r="G43" s="257" t="s">
        <v>54</v>
      </c>
      <c r="H43" s="257">
        <v>17</v>
      </c>
      <c r="I43" s="257">
        <v>27</v>
      </c>
      <c r="J43" s="257">
        <v>30</v>
      </c>
      <c r="K43" s="257">
        <v>37</v>
      </c>
      <c r="L43" s="257">
        <v>37</v>
      </c>
      <c r="M43" s="257">
        <v>37</v>
      </c>
      <c r="N43" s="257">
        <v>37</v>
      </c>
      <c r="O43" s="257">
        <v>37</v>
      </c>
      <c r="P43" s="257">
        <v>37</v>
      </c>
      <c r="Q43" s="257">
        <v>37</v>
      </c>
      <c r="R43" s="257">
        <v>37</v>
      </c>
      <c r="S43" s="257">
        <v>37</v>
      </c>
      <c r="T43" s="257">
        <v>37</v>
      </c>
      <c r="U43" s="230">
        <v>0</v>
      </c>
      <c r="V43" s="258">
        <v>0</v>
      </c>
      <c r="W43" s="258">
        <v>0</v>
      </c>
      <c r="X43" s="258">
        <v>0</v>
      </c>
      <c r="Y43" s="258">
        <v>0</v>
      </c>
    </row>
    <row r="44" spans="1:25" s="6" customFormat="1" ht="72" x14ac:dyDescent="0.3">
      <c r="A44" s="851"/>
      <c r="B44" s="852"/>
      <c r="C44" s="243" t="s">
        <v>1262</v>
      </c>
      <c r="D44" s="734"/>
      <c r="E44" s="734"/>
      <c r="F44" s="245" t="s">
        <v>53</v>
      </c>
      <c r="G44" s="257" t="s">
        <v>54</v>
      </c>
      <c r="H44" s="257">
        <v>15</v>
      </c>
      <c r="I44" s="257">
        <v>21</v>
      </c>
      <c r="J44" s="257">
        <v>30</v>
      </c>
      <c r="K44" s="257">
        <v>37</v>
      </c>
      <c r="L44" s="257">
        <v>37</v>
      </c>
      <c r="M44" s="257">
        <v>37</v>
      </c>
      <c r="N44" s="257">
        <v>37</v>
      </c>
      <c r="O44" s="257">
        <v>37</v>
      </c>
      <c r="P44" s="257">
        <v>37</v>
      </c>
      <c r="Q44" s="257">
        <v>37</v>
      </c>
      <c r="R44" s="257">
        <v>37</v>
      </c>
      <c r="S44" s="257">
        <v>37</v>
      </c>
      <c r="T44" s="257">
        <v>37</v>
      </c>
      <c r="U44" s="230">
        <v>0</v>
      </c>
      <c r="V44" s="258">
        <v>0</v>
      </c>
      <c r="W44" s="258">
        <v>0</v>
      </c>
      <c r="X44" s="258">
        <v>0</v>
      </c>
      <c r="Y44" s="258">
        <v>0</v>
      </c>
    </row>
    <row r="45" spans="1:25" s="6" customFormat="1" ht="72" x14ac:dyDescent="0.3">
      <c r="A45" s="851"/>
      <c r="B45" s="852"/>
      <c r="C45" s="243" t="s">
        <v>1263</v>
      </c>
      <c r="D45" s="734"/>
      <c r="E45" s="734"/>
      <c r="F45" s="245" t="s">
        <v>53</v>
      </c>
      <c r="G45" s="257" t="s">
        <v>54</v>
      </c>
      <c r="H45" s="257">
        <v>39</v>
      </c>
      <c r="I45" s="257">
        <v>36</v>
      </c>
      <c r="J45" s="257">
        <v>36</v>
      </c>
      <c r="K45" s="257">
        <v>36</v>
      </c>
      <c r="L45" s="257">
        <v>36</v>
      </c>
      <c r="M45" s="257">
        <v>36</v>
      </c>
      <c r="N45" s="257">
        <v>36</v>
      </c>
      <c r="O45" s="257">
        <v>36</v>
      </c>
      <c r="P45" s="257">
        <v>36</v>
      </c>
      <c r="Q45" s="257">
        <v>36</v>
      </c>
      <c r="R45" s="257">
        <v>36</v>
      </c>
      <c r="S45" s="257">
        <v>36</v>
      </c>
      <c r="T45" s="257">
        <v>36</v>
      </c>
      <c r="U45" s="230">
        <v>0</v>
      </c>
      <c r="V45" s="258">
        <v>0</v>
      </c>
      <c r="W45" s="258">
        <v>0</v>
      </c>
      <c r="X45" s="258">
        <v>0</v>
      </c>
      <c r="Y45" s="258">
        <v>0</v>
      </c>
    </row>
    <row r="46" spans="1:25" s="6" customFormat="1" ht="72" x14ac:dyDescent="0.3">
      <c r="A46" s="851"/>
      <c r="B46" s="852"/>
      <c r="C46" s="243" t="s">
        <v>1264</v>
      </c>
      <c r="D46" s="734"/>
      <c r="E46" s="734"/>
      <c r="F46" s="245" t="s">
        <v>53</v>
      </c>
      <c r="G46" s="257" t="s">
        <v>54</v>
      </c>
      <c r="H46" s="257">
        <v>39</v>
      </c>
      <c r="I46" s="257">
        <v>36</v>
      </c>
      <c r="J46" s="257">
        <v>36</v>
      </c>
      <c r="K46" s="257">
        <v>36</v>
      </c>
      <c r="L46" s="257">
        <v>36</v>
      </c>
      <c r="M46" s="257">
        <v>36</v>
      </c>
      <c r="N46" s="257">
        <v>36</v>
      </c>
      <c r="O46" s="257">
        <v>36</v>
      </c>
      <c r="P46" s="257">
        <v>36</v>
      </c>
      <c r="Q46" s="257">
        <v>36</v>
      </c>
      <c r="R46" s="257">
        <v>36</v>
      </c>
      <c r="S46" s="257">
        <v>36</v>
      </c>
      <c r="T46" s="257">
        <v>36</v>
      </c>
      <c r="U46" s="230">
        <v>0</v>
      </c>
      <c r="V46" s="258">
        <v>0</v>
      </c>
      <c r="W46" s="258">
        <v>0</v>
      </c>
      <c r="X46" s="258">
        <v>0</v>
      </c>
      <c r="Y46" s="258">
        <v>0</v>
      </c>
    </row>
    <row r="47" spans="1:25" s="6" customFormat="1" ht="72" x14ac:dyDescent="0.3">
      <c r="A47" s="851"/>
      <c r="B47" s="852"/>
      <c r="C47" s="243" t="s">
        <v>1265</v>
      </c>
      <c r="D47" s="734"/>
      <c r="E47" s="734"/>
      <c r="F47" s="245" t="s">
        <v>53</v>
      </c>
      <c r="G47" s="257" t="s">
        <v>54</v>
      </c>
      <c r="H47" s="257">
        <v>15</v>
      </c>
      <c r="I47" s="257">
        <v>24</v>
      </c>
      <c r="J47" s="257">
        <v>26</v>
      </c>
      <c r="K47" s="257">
        <v>28</v>
      </c>
      <c r="L47" s="257">
        <v>30</v>
      </c>
      <c r="M47" s="257">
        <v>37</v>
      </c>
      <c r="N47" s="257">
        <v>37</v>
      </c>
      <c r="O47" s="257">
        <v>37</v>
      </c>
      <c r="P47" s="257">
        <v>37</v>
      </c>
      <c r="Q47" s="257">
        <v>37</v>
      </c>
      <c r="R47" s="257">
        <v>37</v>
      </c>
      <c r="S47" s="257">
        <v>37</v>
      </c>
      <c r="T47" s="257">
        <v>37</v>
      </c>
      <c r="U47" s="230">
        <v>0</v>
      </c>
      <c r="V47" s="258">
        <v>0</v>
      </c>
      <c r="W47" s="258">
        <v>0</v>
      </c>
      <c r="X47" s="258">
        <v>0</v>
      </c>
      <c r="Y47" s="258">
        <v>0</v>
      </c>
    </row>
    <row r="48" spans="1:25" s="6" customFormat="1" ht="72" x14ac:dyDescent="0.3">
      <c r="A48" s="851"/>
      <c r="B48" s="852"/>
      <c r="C48" s="243" t="s">
        <v>1266</v>
      </c>
      <c r="D48" s="734"/>
      <c r="E48" s="734"/>
      <c r="F48" s="245" t="s">
        <v>53</v>
      </c>
      <c r="G48" s="257" t="s">
        <v>54</v>
      </c>
      <c r="H48" s="257">
        <v>3</v>
      </c>
      <c r="I48" s="257">
        <v>3</v>
      </c>
      <c r="J48" s="257">
        <v>3</v>
      </c>
      <c r="K48" s="257">
        <v>3</v>
      </c>
      <c r="L48" s="257">
        <v>3</v>
      </c>
      <c r="M48" s="257">
        <v>3</v>
      </c>
      <c r="N48" s="257">
        <v>3</v>
      </c>
      <c r="O48" s="257">
        <v>3</v>
      </c>
      <c r="P48" s="257">
        <v>5</v>
      </c>
      <c r="Q48" s="257">
        <v>7</v>
      </c>
      <c r="R48" s="257">
        <v>10</v>
      </c>
      <c r="S48" s="257">
        <v>10</v>
      </c>
      <c r="T48" s="257">
        <v>10</v>
      </c>
      <c r="U48" s="230">
        <v>0</v>
      </c>
      <c r="V48" s="258">
        <v>0</v>
      </c>
      <c r="W48" s="258">
        <v>0</v>
      </c>
      <c r="X48" s="258">
        <v>0</v>
      </c>
      <c r="Y48" s="258">
        <v>0</v>
      </c>
    </row>
    <row r="49" spans="1:25" s="6" customFormat="1" ht="72" x14ac:dyDescent="0.3">
      <c r="A49" s="851"/>
      <c r="B49" s="852"/>
      <c r="C49" s="243" t="s">
        <v>1267</v>
      </c>
      <c r="D49" s="734"/>
      <c r="E49" s="734"/>
      <c r="F49" s="245" t="s">
        <v>53</v>
      </c>
      <c r="G49" s="257" t="s">
        <v>54</v>
      </c>
      <c r="H49" s="257">
        <v>0</v>
      </c>
      <c r="I49" s="257">
        <v>36</v>
      </c>
      <c r="J49" s="257">
        <v>36</v>
      </c>
      <c r="K49" s="257">
        <v>36</v>
      </c>
      <c r="L49" s="257">
        <v>36</v>
      </c>
      <c r="M49" s="257">
        <v>36</v>
      </c>
      <c r="N49" s="257">
        <v>36</v>
      </c>
      <c r="O49" s="257">
        <v>36</v>
      </c>
      <c r="P49" s="257">
        <v>36</v>
      </c>
      <c r="Q49" s="257">
        <v>36</v>
      </c>
      <c r="R49" s="257">
        <v>36</v>
      </c>
      <c r="S49" s="257">
        <v>36</v>
      </c>
      <c r="T49" s="257">
        <v>36</v>
      </c>
      <c r="U49" s="230">
        <v>0</v>
      </c>
      <c r="V49" s="258">
        <v>0</v>
      </c>
      <c r="W49" s="258">
        <v>0</v>
      </c>
      <c r="X49" s="258">
        <v>0</v>
      </c>
      <c r="Y49" s="258">
        <v>0</v>
      </c>
    </row>
    <row r="50" spans="1:25" s="6" customFormat="1" ht="72" x14ac:dyDescent="0.3">
      <c r="A50" s="851"/>
      <c r="B50" s="852"/>
      <c r="C50" s="243" t="s">
        <v>1268</v>
      </c>
      <c r="D50" s="734"/>
      <c r="E50" s="734"/>
      <c r="F50" s="245" t="s">
        <v>53</v>
      </c>
      <c r="G50" s="257" t="s">
        <v>54</v>
      </c>
      <c r="H50" s="257">
        <v>40</v>
      </c>
      <c r="I50" s="257">
        <v>37</v>
      </c>
      <c r="J50" s="257">
        <v>37</v>
      </c>
      <c r="K50" s="257">
        <v>37</v>
      </c>
      <c r="L50" s="257">
        <v>37</v>
      </c>
      <c r="M50" s="257">
        <v>37</v>
      </c>
      <c r="N50" s="257">
        <v>37</v>
      </c>
      <c r="O50" s="257">
        <v>37</v>
      </c>
      <c r="P50" s="257">
        <v>37</v>
      </c>
      <c r="Q50" s="257">
        <v>37</v>
      </c>
      <c r="R50" s="257">
        <v>37</v>
      </c>
      <c r="S50" s="257">
        <v>37</v>
      </c>
      <c r="T50" s="257">
        <v>37</v>
      </c>
      <c r="U50" s="230">
        <v>0</v>
      </c>
      <c r="V50" s="258">
        <v>0</v>
      </c>
      <c r="W50" s="258">
        <v>0</v>
      </c>
      <c r="X50" s="258">
        <v>0</v>
      </c>
      <c r="Y50" s="258">
        <v>0</v>
      </c>
    </row>
    <row r="51" spans="1:25" s="6" customFormat="1" ht="72" x14ac:dyDescent="0.3">
      <c r="A51" s="797"/>
      <c r="B51" s="805"/>
      <c r="C51" s="243" t="s">
        <v>1269</v>
      </c>
      <c r="D51" s="729"/>
      <c r="E51" s="729"/>
      <c r="F51" s="245" t="s">
        <v>53</v>
      </c>
      <c r="G51" s="257" t="s">
        <v>54</v>
      </c>
      <c r="H51" s="257">
        <v>0</v>
      </c>
      <c r="I51" s="257">
        <v>22</v>
      </c>
      <c r="J51" s="257">
        <v>22</v>
      </c>
      <c r="K51" s="257">
        <v>22</v>
      </c>
      <c r="L51" s="257">
        <v>22</v>
      </c>
      <c r="M51" s="257">
        <v>23</v>
      </c>
      <c r="N51" s="257">
        <v>23</v>
      </c>
      <c r="O51" s="257">
        <v>24</v>
      </c>
      <c r="P51" s="257">
        <v>24</v>
      </c>
      <c r="Q51" s="257">
        <v>25</v>
      </c>
      <c r="R51" s="257">
        <v>25</v>
      </c>
      <c r="S51" s="257">
        <v>26</v>
      </c>
      <c r="T51" s="257">
        <v>26</v>
      </c>
      <c r="U51" s="230">
        <v>0</v>
      </c>
      <c r="V51" s="258">
        <v>0</v>
      </c>
      <c r="W51" s="258">
        <v>0</v>
      </c>
      <c r="X51" s="258">
        <v>0</v>
      </c>
      <c r="Y51" s="258">
        <v>0</v>
      </c>
    </row>
    <row r="52" spans="1:25" s="6" customFormat="1" ht="168" x14ac:dyDescent="0.3">
      <c r="A52" s="229" t="s">
        <v>37</v>
      </c>
      <c r="B52" s="243" t="s">
        <v>97</v>
      </c>
      <c r="C52" s="243" t="s">
        <v>1029</v>
      </c>
      <c r="D52" s="257" t="s">
        <v>98</v>
      </c>
      <c r="E52" s="43" t="s">
        <v>99</v>
      </c>
      <c r="F52" s="245" t="s">
        <v>982</v>
      </c>
      <c r="G52" s="257" t="s">
        <v>54</v>
      </c>
      <c r="H52" s="257">
        <v>34</v>
      </c>
      <c r="I52" s="257">
        <v>18</v>
      </c>
      <c r="J52" s="257">
        <v>18</v>
      </c>
      <c r="K52" s="257">
        <v>18</v>
      </c>
      <c r="L52" s="257">
        <v>18</v>
      </c>
      <c r="M52" s="257">
        <v>18</v>
      </c>
      <c r="N52" s="257">
        <v>20</v>
      </c>
      <c r="O52" s="257">
        <v>20</v>
      </c>
      <c r="P52" s="257">
        <v>22</v>
      </c>
      <c r="Q52" s="257">
        <v>22</v>
      </c>
      <c r="R52" s="257">
        <v>23</v>
      </c>
      <c r="S52" s="257">
        <v>23</v>
      </c>
      <c r="T52" s="257">
        <v>23</v>
      </c>
      <c r="U52" s="230">
        <v>180000</v>
      </c>
      <c r="V52" s="258">
        <v>0</v>
      </c>
      <c r="W52" s="258">
        <v>0</v>
      </c>
      <c r="X52" s="258">
        <v>0</v>
      </c>
      <c r="Y52" s="258">
        <v>180000</v>
      </c>
    </row>
    <row r="53" spans="1:25" s="6" customFormat="1" ht="192" x14ac:dyDescent="0.3">
      <c r="A53" s="229" t="s">
        <v>40</v>
      </c>
      <c r="B53" s="243" t="s">
        <v>983</v>
      </c>
      <c r="C53" s="243" t="s">
        <v>1270</v>
      </c>
      <c r="D53" s="257" t="s">
        <v>98</v>
      </c>
      <c r="E53" s="43" t="s">
        <v>95</v>
      </c>
      <c r="F53" s="245" t="s">
        <v>1015</v>
      </c>
      <c r="G53" s="257" t="s">
        <v>54</v>
      </c>
      <c r="H53" s="257">
        <v>39</v>
      </c>
      <c r="I53" s="257">
        <v>36</v>
      </c>
      <c r="J53" s="257">
        <v>36</v>
      </c>
      <c r="K53" s="257">
        <v>36</v>
      </c>
      <c r="L53" s="257">
        <v>36</v>
      </c>
      <c r="M53" s="257">
        <v>36</v>
      </c>
      <c r="N53" s="257">
        <v>36</v>
      </c>
      <c r="O53" s="257">
        <v>36</v>
      </c>
      <c r="P53" s="257">
        <v>36</v>
      </c>
      <c r="Q53" s="257">
        <v>36</v>
      </c>
      <c r="R53" s="257">
        <v>36</v>
      </c>
      <c r="S53" s="257">
        <v>36</v>
      </c>
      <c r="T53" s="257">
        <v>36</v>
      </c>
      <c r="U53" s="230">
        <v>3300</v>
      </c>
      <c r="V53" s="258">
        <v>0</v>
      </c>
      <c r="W53" s="258">
        <v>0</v>
      </c>
      <c r="X53" s="258">
        <v>0</v>
      </c>
      <c r="Y53" s="258">
        <v>3300</v>
      </c>
    </row>
    <row r="54" spans="1:25" s="6" customFormat="1" ht="192" x14ac:dyDescent="0.3">
      <c r="A54" s="229" t="s">
        <v>42</v>
      </c>
      <c r="B54" s="242" t="s">
        <v>101</v>
      </c>
      <c r="C54" s="243" t="s">
        <v>1016</v>
      </c>
      <c r="D54" s="257" t="s">
        <v>98</v>
      </c>
      <c r="E54" s="43" t="s">
        <v>95</v>
      </c>
      <c r="F54" s="245" t="s">
        <v>984</v>
      </c>
      <c r="G54" s="257" t="s">
        <v>54</v>
      </c>
      <c r="H54" s="257">
        <v>39</v>
      </c>
      <c r="I54" s="257">
        <v>36</v>
      </c>
      <c r="J54" s="257">
        <v>36</v>
      </c>
      <c r="K54" s="257">
        <v>36</v>
      </c>
      <c r="L54" s="257">
        <v>36</v>
      </c>
      <c r="M54" s="257">
        <v>36</v>
      </c>
      <c r="N54" s="257">
        <v>36</v>
      </c>
      <c r="O54" s="257">
        <v>36</v>
      </c>
      <c r="P54" s="257">
        <v>36</v>
      </c>
      <c r="Q54" s="257">
        <v>36</v>
      </c>
      <c r="R54" s="257">
        <v>36</v>
      </c>
      <c r="S54" s="257">
        <v>36</v>
      </c>
      <c r="T54" s="257">
        <v>36</v>
      </c>
      <c r="U54" s="230">
        <v>18000</v>
      </c>
      <c r="V54" s="258">
        <v>0</v>
      </c>
      <c r="W54" s="258">
        <v>0</v>
      </c>
      <c r="X54" s="258">
        <v>0</v>
      </c>
      <c r="Y54" s="258">
        <v>18000</v>
      </c>
    </row>
    <row r="55" spans="1:25" s="6" customFormat="1" ht="144" x14ac:dyDescent="0.3">
      <c r="A55" s="229" t="s">
        <v>44</v>
      </c>
      <c r="B55" s="242" t="s">
        <v>102</v>
      </c>
      <c r="C55" s="243" t="s">
        <v>1017</v>
      </c>
      <c r="D55" s="257" t="s">
        <v>98</v>
      </c>
      <c r="E55" s="43" t="s">
        <v>95</v>
      </c>
      <c r="F55" s="245" t="s">
        <v>985</v>
      </c>
      <c r="G55" s="257" t="s">
        <v>54</v>
      </c>
      <c r="H55" s="257">
        <v>39</v>
      </c>
      <c r="I55" s="257">
        <v>8</v>
      </c>
      <c r="J55" s="257">
        <v>10</v>
      </c>
      <c r="K55" s="257">
        <v>10</v>
      </c>
      <c r="L55" s="257">
        <v>10</v>
      </c>
      <c r="M55" s="257">
        <v>10</v>
      </c>
      <c r="N55" s="257">
        <v>10</v>
      </c>
      <c r="O55" s="257">
        <v>10</v>
      </c>
      <c r="P55" s="257">
        <v>10</v>
      </c>
      <c r="Q55" s="257">
        <v>10</v>
      </c>
      <c r="R55" s="257">
        <v>10</v>
      </c>
      <c r="S55" s="257">
        <v>10</v>
      </c>
      <c r="T55" s="257">
        <v>10</v>
      </c>
      <c r="U55" s="230">
        <v>1950</v>
      </c>
      <c r="V55" s="258">
        <v>0</v>
      </c>
      <c r="W55" s="258">
        <v>0</v>
      </c>
      <c r="X55" s="258">
        <v>0</v>
      </c>
      <c r="Y55" s="258">
        <v>1950</v>
      </c>
    </row>
    <row r="56" spans="1:25" s="6" customFormat="1" ht="192" x14ac:dyDescent="0.3">
      <c r="A56" s="229" t="s">
        <v>83</v>
      </c>
      <c r="B56" s="242" t="s">
        <v>104</v>
      </c>
      <c r="C56" s="243" t="s">
        <v>105</v>
      </c>
      <c r="D56" s="257" t="s">
        <v>814</v>
      </c>
      <c r="E56" s="257" t="s">
        <v>52</v>
      </c>
      <c r="F56" s="245" t="s">
        <v>106</v>
      </c>
      <c r="G56" s="257" t="s">
        <v>74</v>
      </c>
      <c r="H56" s="257">
        <v>38</v>
      </c>
      <c r="I56" s="257">
        <v>115</v>
      </c>
      <c r="J56" s="257">
        <v>120</v>
      </c>
      <c r="K56" s="257">
        <v>130</v>
      </c>
      <c r="L56" s="257">
        <v>130</v>
      </c>
      <c r="M56" s="257">
        <v>130</v>
      </c>
      <c r="N56" s="257">
        <v>130</v>
      </c>
      <c r="O56" s="257">
        <v>130</v>
      </c>
      <c r="P56" s="257">
        <v>130</v>
      </c>
      <c r="Q56" s="257">
        <v>130</v>
      </c>
      <c r="R56" s="257">
        <v>130</v>
      </c>
      <c r="S56" s="257">
        <v>130</v>
      </c>
      <c r="T56" s="257">
        <v>130</v>
      </c>
      <c r="U56" s="230">
        <v>25522.800000000007</v>
      </c>
      <c r="V56" s="258">
        <v>25522.800000000007</v>
      </c>
      <c r="W56" s="258">
        <v>0</v>
      </c>
      <c r="X56" s="258">
        <v>0</v>
      </c>
      <c r="Y56" s="258">
        <v>0</v>
      </c>
    </row>
    <row r="57" spans="1:25" s="6" customFormat="1" ht="144" x14ac:dyDescent="0.3">
      <c r="A57" s="229" t="s">
        <v>86</v>
      </c>
      <c r="B57" s="242" t="s">
        <v>108</v>
      </c>
      <c r="C57" s="243" t="s">
        <v>109</v>
      </c>
      <c r="D57" s="257" t="s">
        <v>814</v>
      </c>
      <c r="E57" s="257" t="s">
        <v>84</v>
      </c>
      <c r="F57" s="48" t="s">
        <v>110</v>
      </c>
      <c r="G57" s="257" t="s">
        <v>54</v>
      </c>
      <c r="H57" s="257">
        <v>0</v>
      </c>
      <c r="I57" s="257">
        <v>0</v>
      </c>
      <c r="J57" s="257">
        <v>0</v>
      </c>
      <c r="K57" s="257">
        <v>0</v>
      </c>
      <c r="L57" s="257">
        <v>0</v>
      </c>
      <c r="M57" s="257">
        <v>0</v>
      </c>
      <c r="N57" s="257">
        <v>0</v>
      </c>
      <c r="O57" s="257">
        <v>1</v>
      </c>
      <c r="P57" s="257">
        <v>1</v>
      </c>
      <c r="Q57" s="257">
        <v>1</v>
      </c>
      <c r="R57" s="257">
        <v>1</v>
      </c>
      <c r="S57" s="257">
        <v>1</v>
      </c>
      <c r="T57" s="257">
        <v>1</v>
      </c>
      <c r="U57" s="230">
        <v>2300</v>
      </c>
      <c r="V57" s="258">
        <v>0</v>
      </c>
      <c r="W57" s="258">
        <v>0</v>
      </c>
      <c r="X57" s="258">
        <v>0</v>
      </c>
      <c r="Y57" s="258">
        <v>0</v>
      </c>
    </row>
    <row r="58" spans="1:25" s="6" customFormat="1" ht="254.25" customHeight="1" x14ac:dyDescent="0.3">
      <c r="A58" s="229" t="s">
        <v>47</v>
      </c>
      <c r="B58" s="242" t="s">
        <v>111</v>
      </c>
      <c r="C58" s="243" t="s">
        <v>1271</v>
      </c>
      <c r="D58" s="257" t="s">
        <v>1131</v>
      </c>
      <c r="E58" s="257">
        <v>2022</v>
      </c>
      <c r="F58" s="245" t="s">
        <v>112</v>
      </c>
      <c r="G58" s="257" t="s">
        <v>113</v>
      </c>
      <c r="H58" s="257"/>
      <c r="I58" s="257"/>
      <c r="J58" s="257"/>
      <c r="K58" s="257"/>
      <c r="L58" s="257">
        <v>2</v>
      </c>
      <c r="M58" s="257"/>
      <c r="N58" s="257"/>
      <c r="O58" s="257"/>
      <c r="P58" s="257"/>
      <c r="Q58" s="257"/>
      <c r="R58" s="257"/>
      <c r="S58" s="257"/>
      <c r="T58" s="257"/>
      <c r="U58" s="230">
        <v>0</v>
      </c>
      <c r="V58" s="258">
        <v>0</v>
      </c>
      <c r="W58" s="258">
        <v>0</v>
      </c>
      <c r="X58" s="258">
        <v>0</v>
      </c>
      <c r="Y58" s="258">
        <v>0</v>
      </c>
    </row>
    <row r="59" spans="1:25" s="6" customFormat="1" ht="312" x14ac:dyDescent="0.3">
      <c r="A59" s="229" t="s">
        <v>88</v>
      </c>
      <c r="B59" s="233" t="s">
        <v>114</v>
      </c>
      <c r="C59" s="243" t="s">
        <v>1272</v>
      </c>
      <c r="D59" s="257" t="s">
        <v>115</v>
      </c>
      <c r="E59" s="257">
        <v>2022</v>
      </c>
      <c r="F59" s="245" t="s">
        <v>116</v>
      </c>
      <c r="G59" s="257" t="s">
        <v>117</v>
      </c>
      <c r="H59" s="257"/>
      <c r="I59" s="257"/>
      <c r="J59" s="257"/>
      <c r="K59" s="257"/>
      <c r="L59" s="257" t="s">
        <v>118</v>
      </c>
      <c r="M59" s="257"/>
      <c r="N59" s="257"/>
      <c r="O59" s="257"/>
      <c r="P59" s="257"/>
      <c r="Q59" s="257"/>
      <c r="R59" s="257"/>
      <c r="S59" s="257"/>
      <c r="T59" s="257"/>
      <c r="U59" s="230">
        <v>0</v>
      </c>
      <c r="V59" s="258">
        <v>0</v>
      </c>
      <c r="W59" s="258">
        <v>0</v>
      </c>
      <c r="X59" s="258">
        <v>0</v>
      </c>
      <c r="Y59" s="258">
        <v>0</v>
      </c>
    </row>
    <row r="60" spans="1:25" s="3" customFormat="1" ht="24" x14ac:dyDescent="0.3">
      <c r="A60" s="37" t="s">
        <v>119</v>
      </c>
      <c r="B60" s="958" t="s">
        <v>120</v>
      </c>
      <c r="C60" s="958"/>
      <c r="D60" s="958"/>
      <c r="E60" s="958"/>
      <c r="F60" s="958"/>
      <c r="G60" s="958"/>
      <c r="H60" s="958"/>
      <c r="I60" s="958"/>
      <c r="J60" s="958"/>
      <c r="K60" s="958"/>
      <c r="L60" s="958"/>
      <c r="M60" s="958"/>
      <c r="N60" s="958"/>
      <c r="O60" s="958"/>
      <c r="P60" s="958"/>
      <c r="Q60" s="958"/>
      <c r="R60" s="958"/>
      <c r="S60" s="958"/>
      <c r="T60" s="958"/>
      <c r="U60" s="51"/>
      <c r="V60" s="52"/>
      <c r="W60" s="52"/>
      <c r="X60" s="52"/>
      <c r="Y60" s="52"/>
    </row>
    <row r="61" spans="1:25" s="6" customFormat="1" ht="168" x14ac:dyDescent="0.3">
      <c r="A61" s="53" t="s">
        <v>1248</v>
      </c>
      <c r="B61" s="54" t="s">
        <v>121</v>
      </c>
      <c r="C61" s="243" t="s">
        <v>1075</v>
      </c>
      <c r="D61" s="257" t="s">
        <v>122</v>
      </c>
      <c r="E61" s="43">
        <v>2019</v>
      </c>
      <c r="F61" s="245" t="s">
        <v>123</v>
      </c>
      <c r="G61" s="257" t="s">
        <v>74</v>
      </c>
      <c r="H61" s="115"/>
      <c r="I61" s="115">
        <v>275</v>
      </c>
      <c r="J61" s="115"/>
      <c r="K61" s="115"/>
      <c r="L61" s="115"/>
      <c r="M61" s="115"/>
      <c r="N61" s="115"/>
      <c r="O61" s="115"/>
      <c r="P61" s="115"/>
      <c r="Q61" s="115"/>
      <c r="R61" s="115"/>
      <c r="S61" s="115"/>
      <c r="T61" s="115"/>
      <c r="U61" s="230">
        <v>5500</v>
      </c>
      <c r="V61" s="258">
        <v>0</v>
      </c>
      <c r="W61" s="258">
        <v>5500</v>
      </c>
      <c r="X61" s="258">
        <v>0</v>
      </c>
      <c r="Y61" s="258">
        <v>0</v>
      </c>
    </row>
    <row r="62" spans="1:25" s="6" customFormat="1" ht="174" customHeight="1" x14ac:dyDescent="0.3">
      <c r="A62" s="53" t="s">
        <v>1249</v>
      </c>
      <c r="B62" s="243" t="s">
        <v>1218</v>
      </c>
      <c r="C62" s="243" t="s">
        <v>1076</v>
      </c>
      <c r="D62" s="257" t="s">
        <v>122</v>
      </c>
      <c r="E62" s="43" t="s">
        <v>152</v>
      </c>
      <c r="F62" s="245" t="s">
        <v>125</v>
      </c>
      <c r="G62" s="43" t="s">
        <v>74</v>
      </c>
      <c r="H62" s="115"/>
      <c r="I62" s="115">
        <v>25</v>
      </c>
      <c r="J62" s="115">
        <v>25</v>
      </c>
      <c r="K62" s="115">
        <v>25</v>
      </c>
      <c r="L62" s="115"/>
      <c r="M62" s="115"/>
      <c r="N62" s="115"/>
      <c r="O62" s="115"/>
      <c r="P62" s="115"/>
      <c r="Q62" s="115"/>
      <c r="R62" s="115"/>
      <c r="S62" s="115"/>
      <c r="T62" s="115"/>
      <c r="U62" s="230">
        <v>5793.5999999999995</v>
      </c>
      <c r="V62" s="258">
        <v>0</v>
      </c>
      <c r="W62" s="258">
        <v>289.79999999999995</v>
      </c>
      <c r="X62" s="258">
        <v>5503.7999999999993</v>
      </c>
      <c r="Y62" s="258">
        <v>0</v>
      </c>
    </row>
    <row r="63" spans="1:25" s="6" customFormat="1" ht="120" x14ac:dyDescent="0.3">
      <c r="A63" s="53" t="s">
        <v>126</v>
      </c>
      <c r="B63" s="243" t="s">
        <v>127</v>
      </c>
      <c r="C63" s="243" t="s">
        <v>1077</v>
      </c>
      <c r="D63" s="257" t="s">
        <v>1133</v>
      </c>
      <c r="E63" s="43">
        <v>2019</v>
      </c>
      <c r="F63" s="245" t="s">
        <v>128</v>
      </c>
      <c r="G63" s="43" t="s">
        <v>117</v>
      </c>
      <c r="H63" s="115"/>
      <c r="I63" s="115" t="s">
        <v>118</v>
      </c>
      <c r="J63" s="115"/>
      <c r="K63" s="115"/>
      <c r="L63" s="115"/>
      <c r="M63" s="115"/>
      <c r="N63" s="115"/>
      <c r="O63" s="115"/>
      <c r="P63" s="115"/>
      <c r="Q63" s="115"/>
      <c r="R63" s="115"/>
      <c r="S63" s="115"/>
      <c r="T63" s="115"/>
      <c r="U63" s="230">
        <v>6600</v>
      </c>
      <c r="V63" s="258">
        <v>0</v>
      </c>
      <c r="W63" s="258">
        <v>0</v>
      </c>
      <c r="X63" s="258">
        <v>0</v>
      </c>
      <c r="Y63" s="258">
        <v>6600</v>
      </c>
    </row>
    <row r="64" spans="1:25" s="6" customFormat="1" ht="72" x14ac:dyDescent="0.3">
      <c r="A64" s="53" t="s">
        <v>129</v>
      </c>
      <c r="B64" s="243" t="s">
        <v>130</v>
      </c>
      <c r="C64" s="243" t="s">
        <v>131</v>
      </c>
      <c r="D64" s="257" t="s">
        <v>1133</v>
      </c>
      <c r="E64" s="43">
        <v>2019</v>
      </c>
      <c r="F64" s="245" t="s">
        <v>947</v>
      </c>
      <c r="G64" s="43" t="s">
        <v>931</v>
      </c>
      <c r="H64" s="115"/>
      <c r="I64" s="115">
        <v>1</v>
      </c>
      <c r="J64" s="115"/>
      <c r="K64" s="115"/>
      <c r="L64" s="115"/>
      <c r="M64" s="115"/>
      <c r="N64" s="115"/>
      <c r="O64" s="115"/>
      <c r="P64" s="115"/>
      <c r="Q64" s="115"/>
      <c r="R64" s="115"/>
      <c r="S64" s="115"/>
      <c r="T64" s="115"/>
      <c r="U64" s="230">
        <v>4500</v>
      </c>
      <c r="V64" s="258">
        <v>0</v>
      </c>
      <c r="W64" s="258">
        <v>0</v>
      </c>
      <c r="X64" s="258">
        <v>0</v>
      </c>
      <c r="Y64" s="258">
        <v>4500</v>
      </c>
    </row>
    <row r="65" spans="1:25" s="3" customFormat="1" ht="24" x14ac:dyDescent="0.3">
      <c r="A65" s="35" t="s">
        <v>132</v>
      </c>
      <c r="B65" s="955" t="s">
        <v>133</v>
      </c>
      <c r="C65" s="955"/>
      <c r="D65" s="955"/>
      <c r="E65" s="955"/>
      <c r="F65" s="955"/>
      <c r="G65" s="955"/>
      <c r="H65" s="955"/>
      <c r="I65" s="955"/>
      <c r="J65" s="955"/>
      <c r="K65" s="955"/>
      <c r="L65" s="955"/>
      <c r="M65" s="955"/>
      <c r="N65" s="955"/>
      <c r="O65" s="955"/>
      <c r="P65" s="955"/>
      <c r="Q65" s="955"/>
      <c r="R65" s="955"/>
      <c r="S65" s="955"/>
      <c r="T65" s="955"/>
      <c r="U65" s="56"/>
      <c r="V65" s="57"/>
      <c r="W65" s="57"/>
      <c r="X65" s="57"/>
      <c r="Y65" s="57"/>
    </row>
    <row r="66" spans="1:25" s="3" customFormat="1" ht="24" x14ac:dyDescent="0.3">
      <c r="A66" s="37" t="s">
        <v>134</v>
      </c>
      <c r="B66" s="956" t="s">
        <v>135</v>
      </c>
      <c r="C66" s="957"/>
      <c r="D66" s="957"/>
      <c r="E66" s="957"/>
      <c r="F66" s="957"/>
      <c r="G66" s="957"/>
      <c r="H66" s="957"/>
      <c r="I66" s="957"/>
      <c r="J66" s="957"/>
      <c r="K66" s="957"/>
      <c r="L66" s="957"/>
      <c r="M66" s="957"/>
      <c r="N66" s="957"/>
      <c r="O66" s="957"/>
      <c r="P66" s="957"/>
      <c r="Q66" s="957"/>
      <c r="R66" s="957"/>
      <c r="S66" s="957"/>
      <c r="T66" s="957"/>
      <c r="U66" s="51"/>
      <c r="V66" s="52"/>
      <c r="W66" s="52"/>
      <c r="X66" s="52"/>
      <c r="Y66" s="52"/>
    </row>
    <row r="67" spans="1:25" s="6" customFormat="1" ht="144" customHeight="1" x14ac:dyDescent="0.3">
      <c r="A67" s="728" t="s">
        <v>136</v>
      </c>
      <c r="B67" s="817" t="s">
        <v>137</v>
      </c>
      <c r="C67" s="817" t="s">
        <v>138</v>
      </c>
      <c r="D67" s="728" t="s">
        <v>139</v>
      </c>
      <c r="E67" s="728" t="s">
        <v>52</v>
      </c>
      <c r="F67" s="245" t="s">
        <v>1189</v>
      </c>
      <c r="G67" s="257" t="s">
        <v>62</v>
      </c>
      <c r="H67" s="257" t="s">
        <v>140</v>
      </c>
      <c r="I67" s="124">
        <f>26100/770000*100</f>
        <v>3.3896103896103895</v>
      </c>
      <c r="J67" s="124">
        <f>30300/770000*100</f>
        <v>3.9350649350649349</v>
      </c>
      <c r="K67" s="124">
        <f>34500/770000*100</f>
        <v>4.4805194805194803</v>
      </c>
      <c r="L67" s="124">
        <f>41700/770000*100</f>
        <v>5.4155844155844157</v>
      </c>
      <c r="M67" s="124">
        <f>49900/770000*100</f>
        <v>6.4805194805194812</v>
      </c>
      <c r="N67" s="124">
        <f>59100/770000*100</f>
        <v>7.6753246753246751</v>
      </c>
      <c r="O67" s="124">
        <f>69300/770000*100</f>
        <v>9</v>
      </c>
      <c r="P67" s="124">
        <f>80500/770000*100</f>
        <v>10.454545454545453</v>
      </c>
      <c r="Q67" s="124">
        <f>92700/770000*100</f>
        <v>12.038961038961039</v>
      </c>
      <c r="R67" s="124">
        <f>106200/770000*100</f>
        <v>13.792207792207792</v>
      </c>
      <c r="S67" s="124">
        <f>120700/770000*100</f>
        <v>15.675324675324676</v>
      </c>
      <c r="T67" s="124">
        <f>136200/770000*100</f>
        <v>17.688311688311689</v>
      </c>
      <c r="U67" s="230">
        <v>0</v>
      </c>
      <c r="V67" s="258">
        <v>0</v>
      </c>
      <c r="W67" s="258">
        <v>0</v>
      </c>
      <c r="X67" s="258">
        <v>0</v>
      </c>
      <c r="Y67" s="258">
        <v>0</v>
      </c>
    </row>
    <row r="68" spans="1:25" s="6" customFormat="1" ht="131.25" x14ac:dyDescent="0.3">
      <c r="A68" s="729"/>
      <c r="B68" s="818"/>
      <c r="C68" s="818"/>
      <c r="D68" s="729"/>
      <c r="E68" s="729"/>
      <c r="F68" s="141" t="s">
        <v>1411</v>
      </c>
      <c r="G68" s="142" t="s">
        <v>62</v>
      </c>
      <c r="H68" s="142" t="s">
        <v>140</v>
      </c>
      <c r="I68" s="142">
        <v>100</v>
      </c>
      <c r="J68" s="142">
        <v>100</v>
      </c>
      <c r="K68" s="142">
        <v>100</v>
      </c>
      <c r="L68" s="142">
        <v>100</v>
      </c>
      <c r="M68" s="142">
        <v>100</v>
      </c>
      <c r="N68" s="142">
        <v>100</v>
      </c>
      <c r="O68" s="142">
        <v>100</v>
      </c>
      <c r="P68" s="142">
        <v>100</v>
      </c>
      <c r="Q68" s="142">
        <v>100</v>
      </c>
      <c r="R68" s="142">
        <v>100</v>
      </c>
      <c r="S68" s="142">
        <v>100</v>
      </c>
      <c r="T68" s="142">
        <v>100</v>
      </c>
      <c r="U68" s="230">
        <v>0</v>
      </c>
      <c r="V68" s="258">
        <v>0</v>
      </c>
      <c r="W68" s="258">
        <v>0</v>
      </c>
      <c r="X68" s="258">
        <v>0</v>
      </c>
      <c r="Y68" s="258">
        <v>0</v>
      </c>
    </row>
    <row r="69" spans="1:25" s="6" customFormat="1" ht="144" x14ac:dyDescent="0.3">
      <c r="A69" s="257" t="s">
        <v>141</v>
      </c>
      <c r="B69" s="243" t="s">
        <v>1135</v>
      </c>
      <c r="C69" s="58" t="s">
        <v>1136</v>
      </c>
      <c r="D69" s="257" t="s">
        <v>139</v>
      </c>
      <c r="E69" s="218" t="s">
        <v>376</v>
      </c>
      <c r="F69" s="245" t="s">
        <v>1142</v>
      </c>
      <c r="G69" s="217" t="s">
        <v>62</v>
      </c>
      <c r="H69" s="217"/>
      <c r="I69" s="257"/>
      <c r="J69" s="257"/>
      <c r="K69" s="257"/>
      <c r="L69" s="257">
        <v>30</v>
      </c>
      <c r="M69" s="257">
        <v>60</v>
      </c>
      <c r="N69" s="257">
        <v>100</v>
      </c>
      <c r="O69" s="257"/>
      <c r="P69" s="257"/>
      <c r="Q69" s="257"/>
      <c r="R69" s="257"/>
      <c r="S69" s="257"/>
      <c r="T69" s="257"/>
      <c r="U69" s="230">
        <v>28000</v>
      </c>
      <c r="V69" s="258">
        <v>0</v>
      </c>
      <c r="W69" s="258">
        <v>0</v>
      </c>
      <c r="X69" s="258">
        <v>0</v>
      </c>
      <c r="Y69" s="258">
        <v>0</v>
      </c>
    </row>
    <row r="70" spans="1:25" s="11" customFormat="1" ht="120" x14ac:dyDescent="0.25">
      <c r="A70" s="257" t="s">
        <v>1083</v>
      </c>
      <c r="B70" s="234" t="s">
        <v>1078</v>
      </c>
      <c r="C70" s="233" t="s">
        <v>1079</v>
      </c>
      <c r="D70" s="218" t="s">
        <v>1126</v>
      </c>
      <c r="E70" s="218" t="s">
        <v>353</v>
      </c>
      <c r="F70" s="219" t="s">
        <v>1081</v>
      </c>
      <c r="G70" s="217" t="s">
        <v>1090</v>
      </c>
      <c r="H70" s="217"/>
      <c r="I70" s="59"/>
      <c r="J70" s="59">
        <f t="shared" ref="J70:T70" si="1">533000/180928</f>
        <v>2.9459232401839404</v>
      </c>
      <c r="K70" s="59">
        <f t="shared" si="1"/>
        <v>2.9459232401839404</v>
      </c>
      <c r="L70" s="59">
        <f t="shared" si="1"/>
        <v>2.9459232401839404</v>
      </c>
      <c r="M70" s="59">
        <f t="shared" si="1"/>
        <v>2.9459232401839404</v>
      </c>
      <c r="N70" s="59">
        <f t="shared" si="1"/>
        <v>2.9459232401839404</v>
      </c>
      <c r="O70" s="59">
        <f t="shared" si="1"/>
        <v>2.9459232401839404</v>
      </c>
      <c r="P70" s="59">
        <f t="shared" si="1"/>
        <v>2.9459232401839404</v>
      </c>
      <c r="Q70" s="59">
        <f t="shared" si="1"/>
        <v>2.9459232401839404</v>
      </c>
      <c r="R70" s="59">
        <f t="shared" si="1"/>
        <v>2.9459232401839404</v>
      </c>
      <c r="S70" s="59">
        <f t="shared" si="1"/>
        <v>2.9459232401839404</v>
      </c>
      <c r="T70" s="59">
        <f t="shared" si="1"/>
        <v>2.9459232401839404</v>
      </c>
      <c r="U70" s="230">
        <v>16000</v>
      </c>
      <c r="V70" s="258">
        <v>2600</v>
      </c>
      <c r="W70" s="258">
        <v>13400</v>
      </c>
      <c r="X70" s="258">
        <v>0</v>
      </c>
      <c r="Y70" s="258">
        <v>0</v>
      </c>
    </row>
    <row r="71" spans="1:25" s="11" customFormat="1" ht="67.5" customHeight="1" x14ac:dyDescent="0.25">
      <c r="A71" s="257" t="s">
        <v>1084</v>
      </c>
      <c r="B71" s="234" t="s">
        <v>1080</v>
      </c>
      <c r="C71" s="233" t="s">
        <v>1273</v>
      </c>
      <c r="D71" s="257" t="s">
        <v>139</v>
      </c>
      <c r="E71" s="257" t="s">
        <v>52</v>
      </c>
      <c r="F71" s="219" t="s">
        <v>1082</v>
      </c>
      <c r="G71" s="257" t="s">
        <v>62</v>
      </c>
      <c r="H71" s="217"/>
      <c r="I71" s="60">
        <f>25000/770200*100</f>
        <v>3.2459101532069594</v>
      </c>
      <c r="J71" s="60">
        <f t="shared" ref="J71:T71" si="2">25000/770200*100</f>
        <v>3.2459101532069594</v>
      </c>
      <c r="K71" s="60">
        <f t="shared" si="2"/>
        <v>3.2459101532069594</v>
      </c>
      <c r="L71" s="60">
        <f t="shared" si="2"/>
        <v>3.2459101532069594</v>
      </c>
      <c r="M71" s="60">
        <f t="shared" si="2"/>
        <v>3.2459101532069594</v>
      </c>
      <c r="N71" s="60">
        <f t="shared" si="2"/>
        <v>3.2459101532069594</v>
      </c>
      <c r="O71" s="60">
        <f t="shared" si="2"/>
        <v>3.2459101532069594</v>
      </c>
      <c r="P71" s="60">
        <f t="shared" si="2"/>
        <v>3.2459101532069594</v>
      </c>
      <c r="Q71" s="60">
        <f t="shared" si="2"/>
        <v>3.2459101532069594</v>
      </c>
      <c r="R71" s="60">
        <f t="shared" si="2"/>
        <v>3.2459101532069594</v>
      </c>
      <c r="S71" s="60">
        <f t="shared" si="2"/>
        <v>3.2459101532069594</v>
      </c>
      <c r="T71" s="60">
        <f t="shared" si="2"/>
        <v>3.2459101532069594</v>
      </c>
      <c r="U71" s="230">
        <v>42840</v>
      </c>
      <c r="V71" s="258">
        <v>42840</v>
      </c>
      <c r="W71" s="258">
        <v>0</v>
      </c>
      <c r="X71" s="258">
        <v>0</v>
      </c>
      <c r="Y71" s="258">
        <v>0</v>
      </c>
    </row>
    <row r="72" spans="1:25" s="4" customFormat="1" ht="72" x14ac:dyDescent="0.3">
      <c r="A72" s="862" t="s">
        <v>1092</v>
      </c>
      <c r="B72" s="839" t="s">
        <v>142</v>
      </c>
      <c r="C72" s="843" t="s">
        <v>1215</v>
      </c>
      <c r="D72" s="714" t="s">
        <v>1127</v>
      </c>
      <c r="E72" s="853" t="s">
        <v>143</v>
      </c>
      <c r="F72" s="61" t="s">
        <v>145</v>
      </c>
      <c r="G72" s="261" t="s">
        <v>146</v>
      </c>
      <c r="H72" s="244">
        <v>0.35</v>
      </c>
      <c r="I72" s="59">
        <v>0.34</v>
      </c>
      <c r="J72" s="59">
        <v>0.36</v>
      </c>
      <c r="K72" s="59">
        <v>0.36</v>
      </c>
      <c r="L72" s="59">
        <v>0.36</v>
      </c>
      <c r="M72" s="59">
        <v>0.36</v>
      </c>
      <c r="N72" s="59">
        <v>0.37</v>
      </c>
      <c r="O72" s="59">
        <v>0.38</v>
      </c>
      <c r="P72" s="59">
        <v>0.38</v>
      </c>
      <c r="Q72" s="59">
        <v>0.38</v>
      </c>
      <c r="R72" s="59">
        <v>0.39</v>
      </c>
      <c r="S72" s="59">
        <v>0.39</v>
      </c>
      <c r="T72" s="59">
        <v>0.4</v>
      </c>
      <c r="U72" s="855">
        <v>712599.3</v>
      </c>
      <c r="V72" s="835">
        <v>9599.2999999999993</v>
      </c>
      <c r="W72" s="835">
        <v>0</v>
      </c>
      <c r="X72" s="835">
        <v>0</v>
      </c>
      <c r="Y72" s="835">
        <v>353000</v>
      </c>
    </row>
    <row r="73" spans="1:25" s="4" customFormat="1" ht="72" x14ac:dyDescent="0.3">
      <c r="A73" s="869"/>
      <c r="B73" s="856"/>
      <c r="C73" s="839"/>
      <c r="D73" s="748"/>
      <c r="E73" s="854"/>
      <c r="F73" s="62" t="s">
        <v>1412</v>
      </c>
      <c r="G73" s="262" t="s">
        <v>31</v>
      </c>
      <c r="H73" s="236">
        <v>3.4</v>
      </c>
      <c r="I73" s="63">
        <v>3.7</v>
      </c>
      <c r="J73" s="63">
        <v>3.9</v>
      </c>
      <c r="K73" s="63">
        <v>4</v>
      </c>
      <c r="L73" s="63">
        <v>4.0999999999999996</v>
      </c>
      <c r="M73" s="63">
        <v>4.2</v>
      </c>
      <c r="N73" s="63">
        <v>4.3</v>
      </c>
      <c r="O73" s="63">
        <v>4.4000000000000004</v>
      </c>
      <c r="P73" s="63">
        <v>4.5</v>
      </c>
      <c r="Q73" s="63">
        <v>4.5999999999999996</v>
      </c>
      <c r="R73" s="63">
        <v>4.7</v>
      </c>
      <c r="S73" s="63">
        <v>4.8</v>
      </c>
      <c r="T73" s="63">
        <v>4.9000000000000004</v>
      </c>
      <c r="U73" s="855"/>
      <c r="V73" s="835"/>
      <c r="W73" s="835"/>
      <c r="X73" s="835"/>
      <c r="Y73" s="835"/>
    </row>
    <row r="74" spans="1:25" s="4" customFormat="1" ht="120" x14ac:dyDescent="0.3">
      <c r="A74" s="64" t="s">
        <v>1250</v>
      </c>
      <c r="B74" s="242" t="s">
        <v>1089</v>
      </c>
      <c r="C74" s="243" t="s">
        <v>1274</v>
      </c>
      <c r="D74" s="257" t="s">
        <v>139</v>
      </c>
      <c r="E74" s="257" t="s">
        <v>1087</v>
      </c>
      <c r="F74" s="245" t="s">
        <v>1085</v>
      </c>
      <c r="G74" s="257" t="s">
        <v>31</v>
      </c>
      <c r="H74" s="257"/>
      <c r="I74" s="59"/>
      <c r="J74" s="59"/>
      <c r="K74" s="59"/>
      <c r="L74" s="59">
        <f>500/181620*1000</f>
        <v>2.7530007708402158</v>
      </c>
      <c r="M74" s="59">
        <f>550/181967*1000</f>
        <v>3.0225260624179109</v>
      </c>
      <c r="N74" s="59">
        <f>560/182314*1000</f>
        <v>3.0716236822185903</v>
      </c>
      <c r="O74" s="59">
        <f>600/182662*1000</f>
        <v>3.2847554499567506</v>
      </c>
      <c r="P74" s="59">
        <f>600/183011*1000</f>
        <v>3.2784914567976786</v>
      </c>
      <c r="Q74" s="59">
        <f>650/183361*1000</f>
        <v>3.5449195848626478</v>
      </c>
      <c r="R74" s="59">
        <f>650/183361*1000</f>
        <v>3.5449195848626478</v>
      </c>
      <c r="S74" s="59">
        <f>700/184062*1000</f>
        <v>3.8030663580749966</v>
      </c>
      <c r="T74" s="59">
        <f>700/184413*1000</f>
        <v>3.7958278429394889</v>
      </c>
      <c r="U74" s="230">
        <v>2808</v>
      </c>
      <c r="V74" s="258">
        <v>0</v>
      </c>
      <c r="W74" s="258">
        <v>0</v>
      </c>
      <c r="X74" s="258">
        <v>0</v>
      </c>
      <c r="Y74" s="258">
        <v>2808</v>
      </c>
    </row>
    <row r="75" spans="1:25" s="4" customFormat="1" ht="264" x14ac:dyDescent="0.3">
      <c r="A75" s="64" t="s">
        <v>1093</v>
      </c>
      <c r="B75" s="242" t="s">
        <v>1091</v>
      </c>
      <c r="C75" s="243" t="s">
        <v>1274</v>
      </c>
      <c r="D75" s="257" t="s">
        <v>1086</v>
      </c>
      <c r="E75" s="257" t="s">
        <v>52</v>
      </c>
      <c r="F75" s="245" t="s">
        <v>1085</v>
      </c>
      <c r="G75" s="257" t="s">
        <v>31</v>
      </c>
      <c r="H75" s="257"/>
      <c r="I75" s="59">
        <f>252/180583*1000</f>
        <v>1.3954801947027129</v>
      </c>
      <c r="J75" s="59">
        <f>400/180928*1000</f>
        <v>2.2108241952599927</v>
      </c>
      <c r="K75" s="59">
        <f>450/181274*1000</f>
        <v>2.4824299127287976</v>
      </c>
      <c r="L75" s="59">
        <f>500/181620*1000</f>
        <v>2.7530007708402158</v>
      </c>
      <c r="M75" s="59">
        <f>550/181967*1000</f>
        <v>3.0225260624179109</v>
      </c>
      <c r="N75" s="59">
        <f>600/182314*1000</f>
        <v>3.2910253738056321</v>
      </c>
      <c r="O75" s="59">
        <f>650/182662*1000</f>
        <v>3.5584850707864799</v>
      </c>
      <c r="P75" s="59">
        <f>700/183011*1000</f>
        <v>3.824906699597292</v>
      </c>
      <c r="Q75" s="59">
        <f>750/183361*1000</f>
        <v>4.090291828687671</v>
      </c>
      <c r="R75" s="59">
        <f>800/183361*1000</f>
        <v>4.3629779506001825</v>
      </c>
      <c r="S75" s="59">
        <f>850/184062*1000</f>
        <v>4.6180091490910673</v>
      </c>
      <c r="T75" s="59">
        <f>900/184413*1000</f>
        <v>4.8803500837793434</v>
      </c>
      <c r="U75" s="230">
        <v>3000</v>
      </c>
      <c r="V75" s="258">
        <v>0</v>
      </c>
      <c r="W75" s="258">
        <v>0</v>
      </c>
      <c r="X75" s="258">
        <v>0</v>
      </c>
      <c r="Y75" s="258">
        <v>3000</v>
      </c>
    </row>
    <row r="76" spans="1:25" s="3" customFormat="1" ht="288" x14ac:dyDescent="0.3">
      <c r="A76" s="37" t="s">
        <v>148</v>
      </c>
      <c r="B76" s="953" t="s">
        <v>149</v>
      </c>
      <c r="C76" s="954"/>
      <c r="D76" s="954"/>
      <c r="E76" s="954"/>
      <c r="F76" s="120" t="s">
        <v>147</v>
      </c>
      <c r="G76" s="121" t="s">
        <v>62</v>
      </c>
      <c r="H76" s="122">
        <v>87.6</v>
      </c>
      <c r="I76" s="123">
        <v>86.44</v>
      </c>
      <c r="J76" s="122">
        <v>94.6</v>
      </c>
      <c r="K76" s="122">
        <v>94.8</v>
      </c>
      <c r="L76" s="123">
        <v>95</v>
      </c>
      <c r="M76" s="122">
        <v>95.5</v>
      </c>
      <c r="N76" s="123">
        <v>96</v>
      </c>
      <c r="O76" s="122">
        <v>96.4</v>
      </c>
      <c r="P76" s="122">
        <v>96.8</v>
      </c>
      <c r="Q76" s="123">
        <v>97</v>
      </c>
      <c r="R76" s="122">
        <v>97.5</v>
      </c>
      <c r="S76" s="122">
        <v>97.8</v>
      </c>
      <c r="T76" s="122">
        <v>98.1</v>
      </c>
      <c r="U76" s="51"/>
      <c r="V76" s="52"/>
      <c r="W76" s="52"/>
      <c r="X76" s="52"/>
      <c r="Y76" s="52"/>
    </row>
    <row r="77" spans="1:25" s="6" customFormat="1" ht="144" x14ac:dyDescent="0.3">
      <c r="A77" s="53" t="s">
        <v>150</v>
      </c>
      <c r="B77" s="243" t="s">
        <v>151</v>
      </c>
      <c r="C77" s="243" t="s">
        <v>1275</v>
      </c>
      <c r="D77" s="257" t="s">
        <v>1224</v>
      </c>
      <c r="E77" s="43" t="s">
        <v>152</v>
      </c>
      <c r="F77" s="245" t="s">
        <v>153</v>
      </c>
      <c r="G77" s="257" t="s">
        <v>74</v>
      </c>
      <c r="H77" s="43"/>
      <c r="I77" s="100">
        <v>1352</v>
      </c>
      <c r="J77" s="100">
        <v>1352</v>
      </c>
      <c r="K77" s="100">
        <v>1352</v>
      </c>
      <c r="L77" s="100">
        <v>1352</v>
      </c>
      <c r="M77" s="100">
        <v>1352</v>
      </c>
      <c r="N77" s="100">
        <v>1352</v>
      </c>
      <c r="O77" s="100">
        <v>1352</v>
      </c>
      <c r="P77" s="100">
        <v>1352</v>
      </c>
      <c r="Q77" s="100">
        <v>1352</v>
      </c>
      <c r="R77" s="100">
        <v>1352</v>
      </c>
      <c r="S77" s="100">
        <v>1352</v>
      </c>
      <c r="T77" s="100">
        <v>1352</v>
      </c>
      <c r="U77" s="230">
        <v>5857.1</v>
      </c>
      <c r="V77" s="258">
        <v>0</v>
      </c>
      <c r="W77" s="258">
        <v>4808.8999999999996</v>
      </c>
      <c r="X77" s="258">
        <v>0</v>
      </c>
      <c r="Y77" s="258">
        <v>1048.2</v>
      </c>
    </row>
    <row r="78" spans="1:25" s="4" customFormat="1" ht="144" x14ac:dyDescent="0.3">
      <c r="A78" s="249" t="s">
        <v>154</v>
      </c>
      <c r="B78" s="250" t="s">
        <v>155</v>
      </c>
      <c r="C78" s="250" t="s">
        <v>1276</v>
      </c>
      <c r="D78" s="244" t="s">
        <v>1133</v>
      </c>
      <c r="E78" s="43" t="s">
        <v>52</v>
      </c>
      <c r="F78" s="245" t="s">
        <v>153</v>
      </c>
      <c r="G78" s="257" t="s">
        <v>74</v>
      </c>
      <c r="H78" s="224"/>
      <c r="I78" s="65">
        <v>4500</v>
      </c>
      <c r="J78" s="65">
        <v>4500</v>
      </c>
      <c r="K78" s="65">
        <v>4650</v>
      </c>
      <c r="L78" s="65">
        <v>4800</v>
      </c>
      <c r="M78" s="65">
        <v>4950</v>
      </c>
      <c r="N78" s="65">
        <v>5100</v>
      </c>
      <c r="O78" s="65">
        <v>5250</v>
      </c>
      <c r="P78" s="65">
        <v>5400</v>
      </c>
      <c r="Q78" s="65">
        <v>5550</v>
      </c>
      <c r="R78" s="65">
        <v>5700</v>
      </c>
      <c r="S78" s="65">
        <v>5850</v>
      </c>
      <c r="T78" s="65">
        <v>6000</v>
      </c>
      <c r="U78" s="230">
        <v>4000</v>
      </c>
      <c r="V78" s="258">
        <v>0</v>
      </c>
      <c r="W78" s="258">
        <v>0</v>
      </c>
      <c r="X78" s="258">
        <v>0</v>
      </c>
      <c r="Y78" s="258">
        <v>4000</v>
      </c>
    </row>
    <row r="79" spans="1:25" s="4" customFormat="1" ht="144" x14ac:dyDescent="0.3">
      <c r="A79" s="249" t="s">
        <v>156</v>
      </c>
      <c r="B79" s="250" t="s">
        <v>157</v>
      </c>
      <c r="C79" s="250" t="s">
        <v>1276</v>
      </c>
      <c r="D79" s="244" t="s">
        <v>1133</v>
      </c>
      <c r="E79" s="43" t="s">
        <v>52</v>
      </c>
      <c r="F79" s="245" t="s">
        <v>153</v>
      </c>
      <c r="G79" s="257" t="s">
        <v>74</v>
      </c>
      <c r="H79" s="224"/>
      <c r="I79" s="65">
        <v>4500</v>
      </c>
      <c r="J79" s="65">
        <v>4500</v>
      </c>
      <c r="K79" s="65">
        <v>4650</v>
      </c>
      <c r="L79" s="65">
        <v>4800</v>
      </c>
      <c r="M79" s="65">
        <v>4950</v>
      </c>
      <c r="N79" s="65">
        <v>5100</v>
      </c>
      <c r="O79" s="65">
        <v>5250</v>
      </c>
      <c r="P79" s="65">
        <v>5400</v>
      </c>
      <c r="Q79" s="65">
        <v>5550</v>
      </c>
      <c r="R79" s="65">
        <v>5700</v>
      </c>
      <c r="S79" s="65">
        <v>5850</v>
      </c>
      <c r="T79" s="65">
        <v>6000</v>
      </c>
      <c r="U79" s="230">
        <v>6000</v>
      </c>
      <c r="V79" s="258">
        <v>0</v>
      </c>
      <c r="W79" s="258">
        <v>0</v>
      </c>
      <c r="X79" s="258">
        <v>0</v>
      </c>
      <c r="Y79" s="258">
        <v>6000</v>
      </c>
    </row>
    <row r="80" spans="1:25" s="4" customFormat="1" ht="144" x14ac:dyDescent="0.3">
      <c r="A80" s="249" t="s">
        <v>158</v>
      </c>
      <c r="B80" s="250" t="s">
        <v>161</v>
      </c>
      <c r="C80" s="250" t="s">
        <v>1276</v>
      </c>
      <c r="D80" s="244" t="s">
        <v>1133</v>
      </c>
      <c r="E80" s="43" t="s">
        <v>52</v>
      </c>
      <c r="F80" s="245" t="s">
        <v>153</v>
      </c>
      <c r="G80" s="257" t="s">
        <v>74</v>
      </c>
      <c r="H80" s="224"/>
      <c r="I80" s="65">
        <v>8000</v>
      </c>
      <c r="J80" s="65">
        <v>8000</v>
      </c>
      <c r="K80" s="65">
        <v>8200</v>
      </c>
      <c r="L80" s="65">
        <v>8400</v>
      </c>
      <c r="M80" s="65">
        <v>8600</v>
      </c>
      <c r="N80" s="65">
        <v>8800</v>
      </c>
      <c r="O80" s="65">
        <v>9000</v>
      </c>
      <c r="P80" s="65">
        <v>9200</v>
      </c>
      <c r="Q80" s="65">
        <v>9400</v>
      </c>
      <c r="R80" s="65">
        <v>9600</v>
      </c>
      <c r="S80" s="65">
        <v>9800</v>
      </c>
      <c r="T80" s="65">
        <v>10000</v>
      </c>
      <c r="U80" s="230">
        <v>30000</v>
      </c>
      <c r="V80" s="258">
        <v>0</v>
      </c>
      <c r="W80" s="258">
        <v>0</v>
      </c>
      <c r="X80" s="258">
        <v>0</v>
      </c>
      <c r="Y80" s="258">
        <v>30000</v>
      </c>
    </row>
    <row r="81" spans="1:25" s="4" customFormat="1" ht="144" x14ac:dyDescent="0.3">
      <c r="A81" s="249" t="s">
        <v>160</v>
      </c>
      <c r="B81" s="250" t="s">
        <v>163</v>
      </c>
      <c r="C81" s="235" t="s">
        <v>164</v>
      </c>
      <c r="D81" s="244" t="s">
        <v>98</v>
      </c>
      <c r="E81" s="43" t="s">
        <v>52</v>
      </c>
      <c r="F81" s="61" t="s">
        <v>1225</v>
      </c>
      <c r="G81" s="261" t="s">
        <v>117</v>
      </c>
      <c r="H81" s="224"/>
      <c r="I81" s="43" t="s">
        <v>118</v>
      </c>
      <c r="J81" s="43" t="s">
        <v>118</v>
      </c>
      <c r="K81" s="43" t="s">
        <v>118</v>
      </c>
      <c r="L81" s="43" t="s">
        <v>118</v>
      </c>
      <c r="M81" s="43" t="s">
        <v>118</v>
      </c>
      <c r="N81" s="43" t="s">
        <v>118</v>
      </c>
      <c r="O81" s="43" t="s">
        <v>118</v>
      </c>
      <c r="P81" s="43" t="s">
        <v>118</v>
      </c>
      <c r="Q81" s="43" t="s">
        <v>118</v>
      </c>
      <c r="R81" s="43" t="s">
        <v>118</v>
      </c>
      <c r="S81" s="43" t="s">
        <v>118</v>
      </c>
      <c r="T81" s="43" t="s">
        <v>118</v>
      </c>
      <c r="U81" s="230">
        <v>720000</v>
      </c>
      <c r="V81" s="258">
        <v>0</v>
      </c>
      <c r="W81" s="258">
        <v>0</v>
      </c>
      <c r="X81" s="258">
        <v>0</v>
      </c>
      <c r="Y81" s="258">
        <v>720000</v>
      </c>
    </row>
    <row r="82" spans="1:25" s="4" customFormat="1" ht="168" x14ac:dyDescent="0.3">
      <c r="A82" s="249" t="s">
        <v>162</v>
      </c>
      <c r="B82" s="243" t="s">
        <v>165</v>
      </c>
      <c r="C82" s="233" t="s">
        <v>1223</v>
      </c>
      <c r="D82" s="244" t="s">
        <v>166</v>
      </c>
      <c r="E82" s="223" t="s">
        <v>167</v>
      </c>
      <c r="F82" s="245" t="s">
        <v>834</v>
      </c>
      <c r="G82" s="257" t="s">
        <v>74</v>
      </c>
      <c r="H82" s="124">
        <v>8</v>
      </c>
      <c r="I82" s="257">
        <v>8.5</v>
      </c>
      <c r="J82" s="257">
        <v>8.5</v>
      </c>
      <c r="K82" s="257">
        <v>8.5</v>
      </c>
      <c r="L82" s="257">
        <v>8.5</v>
      </c>
      <c r="M82" s="257">
        <v>8.5</v>
      </c>
      <c r="N82" s="257">
        <v>8.5</v>
      </c>
      <c r="O82" s="257">
        <v>8.6</v>
      </c>
      <c r="P82" s="257">
        <v>8.6</v>
      </c>
      <c r="Q82" s="257">
        <v>8.6</v>
      </c>
      <c r="R82" s="257">
        <v>8.6999999999999993</v>
      </c>
      <c r="S82" s="257">
        <v>8.6999999999999993</v>
      </c>
      <c r="T82" s="257">
        <v>8.8000000000000007</v>
      </c>
      <c r="U82" s="230">
        <v>384621.2</v>
      </c>
      <c r="V82" s="258">
        <v>0</v>
      </c>
      <c r="W82" s="258">
        <v>0</v>
      </c>
      <c r="X82" s="258">
        <v>0</v>
      </c>
      <c r="Y82" s="258">
        <v>0</v>
      </c>
    </row>
    <row r="83" spans="1:25" s="4" customFormat="1" ht="168" x14ac:dyDescent="0.3">
      <c r="A83" s="252" t="s">
        <v>832</v>
      </c>
      <c r="B83" s="219" t="s">
        <v>856</v>
      </c>
      <c r="C83" s="219" t="s">
        <v>857</v>
      </c>
      <c r="D83" s="236" t="s">
        <v>139</v>
      </c>
      <c r="E83" s="222" t="s">
        <v>43</v>
      </c>
      <c r="F83" s="245" t="s">
        <v>1228</v>
      </c>
      <c r="G83" s="218" t="s">
        <v>74</v>
      </c>
      <c r="H83" s="257"/>
      <c r="I83" s="124"/>
      <c r="J83" s="257"/>
      <c r="K83" s="257"/>
      <c r="L83" s="124"/>
      <c r="M83" s="257"/>
      <c r="N83" s="124"/>
      <c r="O83" s="257"/>
      <c r="P83" s="257"/>
      <c r="Q83" s="124"/>
      <c r="R83" s="257"/>
      <c r="S83" s="257"/>
      <c r="T83" s="124">
        <f>4*1200*12/184413*100</f>
        <v>31.234240536187798</v>
      </c>
      <c r="U83" s="225">
        <v>1500000</v>
      </c>
      <c r="V83" s="226">
        <v>0</v>
      </c>
      <c r="W83" s="226">
        <v>0</v>
      </c>
      <c r="X83" s="226">
        <v>0</v>
      </c>
      <c r="Y83" s="226">
        <v>0</v>
      </c>
    </row>
    <row r="84" spans="1:25" ht="24" x14ac:dyDescent="0.3">
      <c r="A84" s="66" t="s">
        <v>168</v>
      </c>
      <c r="B84" s="927" t="s">
        <v>169</v>
      </c>
      <c r="C84" s="927"/>
      <c r="D84" s="927"/>
      <c r="E84" s="927"/>
      <c r="F84" s="927"/>
      <c r="G84" s="927"/>
      <c r="H84" s="927"/>
      <c r="I84" s="927"/>
      <c r="J84" s="927"/>
      <c r="K84" s="927"/>
      <c r="L84" s="927"/>
      <c r="M84" s="927"/>
      <c r="N84" s="927"/>
      <c r="O84" s="927"/>
      <c r="P84" s="927"/>
      <c r="Q84" s="927"/>
      <c r="R84" s="927"/>
      <c r="S84" s="927"/>
      <c r="T84" s="927"/>
      <c r="U84" s="51"/>
      <c r="V84" s="52"/>
      <c r="W84" s="52"/>
      <c r="X84" s="52"/>
      <c r="Y84" s="52"/>
    </row>
    <row r="85" spans="1:25" s="4" customFormat="1" ht="102.75" customHeight="1" x14ac:dyDescent="0.3">
      <c r="A85" s="858" t="s">
        <v>833</v>
      </c>
      <c r="B85" s="866" t="s">
        <v>171</v>
      </c>
      <c r="C85" s="243" t="s">
        <v>1277</v>
      </c>
      <c r="D85" s="244" t="s">
        <v>139</v>
      </c>
      <c r="E85" s="43" t="s">
        <v>52</v>
      </c>
      <c r="F85" s="61" t="s">
        <v>172</v>
      </c>
      <c r="G85" s="257" t="s">
        <v>74</v>
      </c>
      <c r="H85" s="244"/>
      <c r="I85" s="257">
        <v>1000</v>
      </c>
      <c r="J85" s="257">
        <v>1000</v>
      </c>
      <c r="K85" s="257">
        <v>1000</v>
      </c>
      <c r="L85" s="257">
        <v>1500</v>
      </c>
      <c r="M85" s="257">
        <v>1500</v>
      </c>
      <c r="N85" s="257">
        <v>1500</v>
      </c>
      <c r="O85" s="257">
        <v>2000</v>
      </c>
      <c r="P85" s="257">
        <v>2000</v>
      </c>
      <c r="Q85" s="257">
        <v>2000</v>
      </c>
      <c r="R85" s="257">
        <v>2500</v>
      </c>
      <c r="S85" s="257">
        <v>2500</v>
      </c>
      <c r="T85" s="257">
        <v>2500</v>
      </c>
      <c r="U85" s="773">
        <v>1603.4999999999998</v>
      </c>
      <c r="V85" s="791">
        <v>306.60000000000002</v>
      </c>
      <c r="W85" s="791">
        <v>0</v>
      </c>
      <c r="X85" s="791">
        <v>0</v>
      </c>
      <c r="Y85" s="791">
        <v>0</v>
      </c>
    </row>
    <row r="86" spans="1:25" s="4" customFormat="1" ht="129.75" customHeight="1" x14ac:dyDescent="0.3">
      <c r="A86" s="858"/>
      <c r="B86" s="866"/>
      <c r="C86" s="243" t="s">
        <v>1278</v>
      </c>
      <c r="D86" s="244" t="s">
        <v>139</v>
      </c>
      <c r="E86" s="43" t="s">
        <v>52</v>
      </c>
      <c r="F86" s="61" t="s">
        <v>172</v>
      </c>
      <c r="G86" s="257" t="s">
        <v>74</v>
      </c>
      <c r="H86" s="244"/>
      <c r="I86" s="257">
        <v>1500</v>
      </c>
      <c r="J86" s="257">
        <v>1500</v>
      </c>
      <c r="K86" s="257">
        <v>1500</v>
      </c>
      <c r="L86" s="257">
        <v>1500</v>
      </c>
      <c r="M86" s="257">
        <v>1500</v>
      </c>
      <c r="N86" s="257">
        <v>1500</v>
      </c>
      <c r="O86" s="257">
        <v>2000</v>
      </c>
      <c r="P86" s="257">
        <v>2000</v>
      </c>
      <c r="Q86" s="257">
        <v>2000</v>
      </c>
      <c r="R86" s="257">
        <v>2000</v>
      </c>
      <c r="S86" s="257">
        <v>2000</v>
      </c>
      <c r="T86" s="257">
        <v>2000</v>
      </c>
      <c r="U86" s="774"/>
      <c r="V86" s="792"/>
      <c r="W86" s="792"/>
      <c r="X86" s="792"/>
      <c r="Y86" s="792"/>
    </row>
    <row r="87" spans="1:25" s="4" customFormat="1" ht="120" x14ac:dyDescent="0.3">
      <c r="A87" s="728" t="s">
        <v>170</v>
      </c>
      <c r="B87" s="861" t="s">
        <v>173</v>
      </c>
      <c r="C87" s="206" t="s">
        <v>1279</v>
      </c>
      <c r="D87" s="244" t="s">
        <v>139</v>
      </c>
      <c r="E87" s="43" t="s">
        <v>52</v>
      </c>
      <c r="F87" s="61" t="s">
        <v>1143</v>
      </c>
      <c r="G87" s="257" t="s">
        <v>31</v>
      </c>
      <c r="H87" s="244"/>
      <c r="I87" s="257">
        <v>1</v>
      </c>
      <c r="J87" s="257">
        <v>1</v>
      </c>
      <c r="K87" s="257">
        <v>1</v>
      </c>
      <c r="L87" s="257">
        <v>1</v>
      </c>
      <c r="M87" s="257">
        <v>1</v>
      </c>
      <c r="N87" s="257">
        <v>1</v>
      </c>
      <c r="O87" s="257">
        <v>1</v>
      </c>
      <c r="P87" s="257">
        <v>1</v>
      </c>
      <c r="Q87" s="257">
        <v>1</v>
      </c>
      <c r="R87" s="257">
        <v>1</v>
      </c>
      <c r="S87" s="257">
        <v>1</v>
      </c>
      <c r="T87" s="257">
        <v>1</v>
      </c>
      <c r="U87" s="230">
        <v>997.4</v>
      </c>
      <c r="V87" s="258">
        <v>0</v>
      </c>
      <c r="W87" s="258">
        <v>0</v>
      </c>
      <c r="X87" s="258">
        <v>0</v>
      </c>
      <c r="Y87" s="258">
        <v>997.4</v>
      </c>
    </row>
    <row r="88" spans="1:25" s="4" customFormat="1" ht="120" x14ac:dyDescent="0.3">
      <c r="A88" s="729"/>
      <c r="B88" s="866"/>
      <c r="C88" s="233" t="s">
        <v>1280</v>
      </c>
      <c r="D88" s="244" t="s">
        <v>139</v>
      </c>
      <c r="E88" s="43" t="s">
        <v>52</v>
      </c>
      <c r="F88" s="61" t="s">
        <v>1143</v>
      </c>
      <c r="G88" s="257" t="s">
        <v>31</v>
      </c>
      <c r="H88" s="244"/>
      <c r="I88" s="257">
        <v>1</v>
      </c>
      <c r="J88" s="257">
        <v>1</v>
      </c>
      <c r="K88" s="257">
        <v>1</v>
      </c>
      <c r="L88" s="257">
        <v>1</v>
      </c>
      <c r="M88" s="257">
        <v>1</v>
      </c>
      <c r="N88" s="257">
        <v>1</v>
      </c>
      <c r="O88" s="257">
        <v>1</v>
      </c>
      <c r="P88" s="257">
        <v>1</v>
      </c>
      <c r="Q88" s="257">
        <v>1</v>
      </c>
      <c r="R88" s="257">
        <v>1</v>
      </c>
      <c r="S88" s="257">
        <v>1</v>
      </c>
      <c r="T88" s="257">
        <v>1</v>
      </c>
      <c r="U88" s="230">
        <v>729.8</v>
      </c>
      <c r="V88" s="258">
        <v>0</v>
      </c>
      <c r="W88" s="258">
        <v>0</v>
      </c>
      <c r="X88" s="258">
        <v>0</v>
      </c>
      <c r="Y88" s="258">
        <v>729.8</v>
      </c>
    </row>
    <row r="89" spans="1:25" ht="24" x14ac:dyDescent="0.3">
      <c r="A89" s="67" t="s">
        <v>174</v>
      </c>
      <c r="B89" s="946" t="s">
        <v>175</v>
      </c>
      <c r="C89" s="946"/>
      <c r="D89" s="946"/>
      <c r="E89" s="946"/>
      <c r="F89" s="946"/>
      <c r="G89" s="946"/>
      <c r="H89" s="946"/>
      <c r="I89" s="946"/>
      <c r="J89" s="946"/>
      <c r="K89" s="946"/>
      <c r="L89" s="946"/>
      <c r="M89" s="946"/>
      <c r="N89" s="946"/>
      <c r="O89" s="946"/>
      <c r="P89" s="946"/>
      <c r="Q89" s="946"/>
      <c r="R89" s="946"/>
      <c r="S89" s="946"/>
      <c r="T89" s="946"/>
      <c r="U89" s="56"/>
      <c r="V89" s="57"/>
      <c r="W89" s="57"/>
      <c r="X89" s="57"/>
      <c r="Y89" s="57"/>
    </row>
    <row r="90" spans="1:25" ht="24" x14ac:dyDescent="0.3">
      <c r="A90" s="66" t="s">
        <v>176</v>
      </c>
      <c r="B90" s="927" t="s">
        <v>177</v>
      </c>
      <c r="C90" s="927"/>
      <c r="D90" s="927"/>
      <c r="E90" s="927"/>
      <c r="F90" s="927"/>
      <c r="G90" s="927"/>
      <c r="H90" s="927"/>
      <c r="I90" s="927"/>
      <c r="J90" s="927"/>
      <c r="K90" s="927"/>
      <c r="L90" s="927"/>
      <c r="M90" s="927"/>
      <c r="N90" s="927"/>
      <c r="O90" s="927"/>
      <c r="P90" s="927"/>
      <c r="Q90" s="927"/>
      <c r="R90" s="927"/>
      <c r="S90" s="927"/>
      <c r="T90" s="927"/>
      <c r="U90" s="51"/>
      <c r="V90" s="52"/>
      <c r="W90" s="52"/>
      <c r="X90" s="52"/>
      <c r="Y90" s="52"/>
    </row>
    <row r="91" spans="1:25" ht="24" x14ac:dyDescent="0.3">
      <c r="A91" s="66" t="s">
        <v>178</v>
      </c>
      <c r="B91" s="256" t="s">
        <v>179</v>
      </c>
      <c r="C91" s="237"/>
      <c r="D91" s="68"/>
      <c r="E91" s="68"/>
      <c r="F91" s="255"/>
      <c r="G91" s="68"/>
      <c r="H91" s="68"/>
      <c r="I91" s="68"/>
      <c r="J91" s="68"/>
      <c r="K91" s="68"/>
      <c r="L91" s="68"/>
      <c r="M91" s="68"/>
      <c r="N91" s="68"/>
      <c r="O91" s="68"/>
      <c r="P91" s="68"/>
      <c r="Q91" s="68"/>
      <c r="R91" s="68"/>
      <c r="S91" s="68"/>
      <c r="T91" s="68"/>
      <c r="U91" s="51"/>
      <c r="V91" s="52"/>
      <c r="W91" s="52"/>
      <c r="X91" s="52"/>
      <c r="Y91" s="52"/>
    </row>
    <row r="92" spans="1:25" ht="24" x14ac:dyDescent="0.3">
      <c r="A92" s="66" t="s">
        <v>180</v>
      </c>
      <c r="B92" s="927" t="s">
        <v>181</v>
      </c>
      <c r="C92" s="927"/>
      <c r="D92" s="927"/>
      <c r="E92" s="927"/>
      <c r="F92" s="927"/>
      <c r="G92" s="927"/>
      <c r="H92" s="927"/>
      <c r="I92" s="927"/>
      <c r="J92" s="927"/>
      <c r="K92" s="927"/>
      <c r="L92" s="927"/>
      <c r="M92" s="927"/>
      <c r="N92" s="927"/>
      <c r="O92" s="927"/>
      <c r="P92" s="927"/>
      <c r="Q92" s="927"/>
      <c r="R92" s="927"/>
      <c r="S92" s="927"/>
      <c r="T92" s="927"/>
      <c r="U92" s="51"/>
      <c r="V92" s="52"/>
      <c r="W92" s="52"/>
      <c r="X92" s="52"/>
      <c r="Y92" s="52"/>
    </row>
    <row r="93" spans="1:25" ht="24" x14ac:dyDescent="0.3">
      <c r="A93" s="66" t="s">
        <v>182</v>
      </c>
      <c r="B93" s="927" t="s">
        <v>183</v>
      </c>
      <c r="C93" s="927"/>
      <c r="D93" s="927"/>
      <c r="E93" s="927"/>
      <c r="F93" s="927"/>
      <c r="G93" s="927"/>
      <c r="H93" s="927"/>
      <c r="I93" s="927"/>
      <c r="J93" s="927"/>
      <c r="K93" s="927"/>
      <c r="L93" s="927"/>
      <c r="M93" s="927"/>
      <c r="N93" s="927"/>
      <c r="O93" s="927"/>
      <c r="P93" s="927"/>
      <c r="Q93" s="927"/>
      <c r="R93" s="927"/>
      <c r="S93" s="927"/>
      <c r="T93" s="927"/>
      <c r="U93" s="51"/>
      <c r="V93" s="52"/>
      <c r="W93" s="52"/>
      <c r="X93" s="52"/>
      <c r="Y93" s="52"/>
    </row>
    <row r="94" spans="1:25" ht="24" x14ac:dyDescent="0.3">
      <c r="A94" s="66" t="s">
        <v>184</v>
      </c>
      <c r="B94" s="927" t="s">
        <v>185</v>
      </c>
      <c r="C94" s="927"/>
      <c r="D94" s="927"/>
      <c r="E94" s="927"/>
      <c r="F94" s="927"/>
      <c r="G94" s="927"/>
      <c r="H94" s="927"/>
      <c r="I94" s="927"/>
      <c r="J94" s="927"/>
      <c r="K94" s="927"/>
      <c r="L94" s="927"/>
      <c r="M94" s="927"/>
      <c r="N94" s="927"/>
      <c r="O94" s="927"/>
      <c r="P94" s="927"/>
      <c r="Q94" s="927"/>
      <c r="R94" s="927"/>
      <c r="S94" s="927"/>
      <c r="T94" s="927"/>
      <c r="U94" s="51"/>
      <c r="V94" s="52"/>
      <c r="W94" s="52"/>
      <c r="X94" s="52"/>
      <c r="Y94" s="52"/>
    </row>
    <row r="95" spans="1:25" ht="24" x14ac:dyDescent="0.3">
      <c r="A95" s="66" t="s">
        <v>186</v>
      </c>
      <c r="B95" s="927" t="s">
        <v>187</v>
      </c>
      <c r="C95" s="927"/>
      <c r="D95" s="927"/>
      <c r="E95" s="927"/>
      <c r="F95" s="927"/>
      <c r="G95" s="927"/>
      <c r="H95" s="927"/>
      <c r="I95" s="927"/>
      <c r="J95" s="927"/>
      <c r="K95" s="927"/>
      <c r="L95" s="927"/>
      <c r="M95" s="927"/>
      <c r="N95" s="927"/>
      <c r="O95" s="927"/>
      <c r="P95" s="927"/>
      <c r="Q95" s="927"/>
      <c r="R95" s="927"/>
      <c r="S95" s="927"/>
      <c r="T95" s="927"/>
      <c r="U95" s="51"/>
      <c r="V95" s="52"/>
      <c r="W95" s="52"/>
      <c r="X95" s="52"/>
      <c r="Y95" s="52"/>
    </row>
    <row r="96" spans="1:25" s="4" customFormat="1" ht="136.5" customHeight="1" x14ac:dyDescent="0.3">
      <c r="A96" s="796" t="s">
        <v>188</v>
      </c>
      <c r="B96" s="830" t="s">
        <v>189</v>
      </c>
      <c r="C96" s="817" t="s">
        <v>1194</v>
      </c>
      <c r="D96" s="728" t="s">
        <v>190</v>
      </c>
      <c r="E96" s="889" t="s">
        <v>52</v>
      </c>
      <c r="F96" s="231" t="s">
        <v>1055</v>
      </c>
      <c r="G96" s="257" t="s">
        <v>74</v>
      </c>
      <c r="H96" s="257">
        <v>139</v>
      </c>
      <c r="I96" s="257">
        <v>70</v>
      </c>
      <c r="J96" s="257">
        <v>70</v>
      </c>
      <c r="K96" s="257">
        <v>70</v>
      </c>
      <c r="L96" s="257">
        <v>70</v>
      </c>
      <c r="M96" s="257">
        <v>70</v>
      </c>
      <c r="N96" s="257">
        <v>70</v>
      </c>
      <c r="O96" s="257">
        <v>70</v>
      </c>
      <c r="P96" s="257">
        <v>70</v>
      </c>
      <c r="Q96" s="257">
        <v>70</v>
      </c>
      <c r="R96" s="257">
        <v>70</v>
      </c>
      <c r="S96" s="257">
        <v>70</v>
      </c>
      <c r="T96" s="257">
        <v>70</v>
      </c>
      <c r="U96" s="855">
        <v>4113703.8000000007</v>
      </c>
      <c r="V96" s="828">
        <v>324277.80000000005</v>
      </c>
      <c r="W96" s="828">
        <v>3789426</v>
      </c>
      <c r="X96" s="828">
        <v>0</v>
      </c>
      <c r="Y96" s="828">
        <v>0</v>
      </c>
    </row>
    <row r="97" spans="1:25" s="4" customFormat="1" ht="172.5" customHeight="1" x14ac:dyDescent="0.3">
      <c r="A97" s="851"/>
      <c r="B97" s="952"/>
      <c r="C97" s="868"/>
      <c r="D97" s="734"/>
      <c r="E97" s="890"/>
      <c r="F97" s="49" t="s">
        <v>1219</v>
      </c>
      <c r="G97" s="69" t="s">
        <v>62</v>
      </c>
      <c r="H97" s="257" t="s">
        <v>140</v>
      </c>
      <c r="I97" s="257">
        <v>17.600000000000001</v>
      </c>
      <c r="J97" s="257">
        <v>17.600000000000001</v>
      </c>
      <c r="K97" s="257">
        <v>17.600000000000001</v>
      </c>
      <c r="L97" s="257">
        <v>17.600000000000001</v>
      </c>
      <c r="M97" s="257">
        <v>17.600000000000001</v>
      </c>
      <c r="N97" s="257">
        <v>17.600000000000001</v>
      </c>
      <c r="O97" s="257">
        <v>17.600000000000001</v>
      </c>
      <c r="P97" s="257">
        <v>17.600000000000001</v>
      </c>
      <c r="Q97" s="257">
        <v>17.600000000000001</v>
      </c>
      <c r="R97" s="257">
        <v>17.600000000000001</v>
      </c>
      <c r="S97" s="257">
        <v>17.600000000000001</v>
      </c>
      <c r="T97" s="257">
        <v>17.600000000000001</v>
      </c>
      <c r="U97" s="855"/>
      <c r="V97" s="828"/>
      <c r="W97" s="828"/>
      <c r="X97" s="828"/>
      <c r="Y97" s="828"/>
    </row>
    <row r="98" spans="1:25" s="4" customFormat="1" ht="106.5" customHeight="1" x14ac:dyDescent="0.3">
      <c r="A98" s="851"/>
      <c r="B98" s="952"/>
      <c r="C98" s="818"/>
      <c r="D98" s="238"/>
      <c r="E98" s="890"/>
      <c r="F98" s="817" t="s">
        <v>191</v>
      </c>
      <c r="G98" s="728" t="s">
        <v>62</v>
      </c>
      <c r="H98" s="728" t="s">
        <v>140</v>
      </c>
      <c r="I98" s="728">
        <v>24</v>
      </c>
      <c r="J98" s="728">
        <v>30</v>
      </c>
      <c r="K98" s="728">
        <v>40</v>
      </c>
      <c r="L98" s="728">
        <v>50</v>
      </c>
      <c r="M98" s="728">
        <v>60</v>
      </c>
      <c r="N98" s="728">
        <v>70</v>
      </c>
      <c r="O98" s="728">
        <v>80</v>
      </c>
      <c r="P98" s="728">
        <v>90</v>
      </c>
      <c r="Q98" s="728">
        <v>90</v>
      </c>
      <c r="R98" s="728">
        <v>90</v>
      </c>
      <c r="S98" s="728">
        <v>90</v>
      </c>
      <c r="T98" s="728">
        <v>90</v>
      </c>
      <c r="U98" s="855"/>
      <c r="V98" s="828"/>
      <c r="W98" s="828"/>
      <c r="X98" s="828"/>
      <c r="Y98" s="828"/>
    </row>
    <row r="99" spans="1:25" s="4" customFormat="1" ht="91.5" customHeight="1" x14ac:dyDescent="0.3">
      <c r="A99" s="797"/>
      <c r="B99" s="831"/>
      <c r="C99" s="220" t="s">
        <v>1281</v>
      </c>
      <c r="D99" s="238"/>
      <c r="E99" s="891"/>
      <c r="F99" s="818"/>
      <c r="G99" s="729"/>
      <c r="H99" s="729"/>
      <c r="I99" s="729"/>
      <c r="J99" s="729"/>
      <c r="K99" s="729"/>
      <c r="L99" s="729"/>
      <c r="M99" s="729"/>
      <c r="N99" s="729"/>
      <c r="O99" s="729"/>
      <c r="P99" s="729"/>
      <c r="Q99" s="729"/>
      <c r="R99" s="729"/>
      <c r="S99" s="729"/>
      <c r="T99" s="729"/>
      <c r="U99" s="230">
        <v>190501.20000000004</v>
      </c>
      <c r="V99" s="258">
        <v>190501.20000000004</v>
      </c>
      <c r="W99" s="258">
        <v>0</v>
      </c>
      <c r="X99" s="258">
        <v>0</v>
      </c>
      <c r="Y99" s="258">
        <v>0</v>
      </c>
    </row>
    <row r="100" spans="1:25" s="4" customFormat="1" ht="240" x14ac:dyDescent="0.3">
      <c r="A100" s="47" t="s">
        <v>1094</v>
      </c>
      <c r="B100" s="242" t="s">
        <v>194</v>
      </c>
      <c r="C100" s="243" t="s">
        <v>1282</v>
      </c>
      <c r="D100" s="257" t="s">
        <v>190</v>
      </c>
      <c r="E100" s="43" t="s">
        <v>52</v>
      </c>
      <c r="F100" s="231" t="s">
        <v>1054</v>
      </c>
      <c r="G100" s="257" t="s">
        <v>342</v>
      </c>
      <c r="H100" s="257">
        <v>4</v>
      </c>
      <c r="I100" s="257">
        <v>7</v>
      </c>
      <c r="J100" s="257">
        <v>7</v>
      </c>
      <c r="K100" s="257">
        <v>7</v>
      </c>
      <c r="L100" s="257">
        <v>7</v>
      </c>
      <c r="M100" s="257">
        <v>7</v>
      </c>
      <c r="N100" s="257">
        <v>7</v>
      </c>
      <c r="O100" s="257">
        <v>8</v>
      </c>
      <c r="P100" s="257">
        <v>8</v>
      </c>
      <c r="Q100" s="257">
        <v>8</v>
      </c>
      <c r="R100" s="257">
        <v>8</v>
      </c>
      <c r="S100" s="257">
        <v>8</v>
      </c>
      <c r="T100" s="257">
        <v>8</v>
      </c>
      <c r="U100" s="230">
        <v>535</v>
      </c>
      <c r="V100" s="258">
        <v>130</v>
      </c>
      <c r="W100" s="258">
        <v>0</v>
      </c>
      <c r="X100" s="258">
        <v>0</v>
      </c>
      <c r="Y100" s="258">
        <v>0</v>
      </c>
    </row>
    <row r="101" spans="1:25" s="4" customFormat="1" ht="120" x14ac:dyDescent="0.3">
      <c r="A101" s="796" t="s">
        <v>193</v>
      </c>
      <c r="B101" s="804" t="s">
        <v>195</v>
      </c>
      <c r="C101" s="243" t="s">
        <v>1283</v>
      </c>
      <c r="D101" s="728" t="s">
        <v>190</v>
      </c>
      <c r="E101" s="889" t="s">
        <v>52</v>
      </c>
      <c r="F101" s="245" t="s">
        <v>196</v>
      </c>
      <c r="G101" s="257" t="s">
        <v>62</v>
      </c>
      <c r="H101" s="257"/>
      <c r="I101" s="257">
        <v>47</v>
      </c>
      <c r="J101" s="257">
        <v>50</v>
      </c>
      <c r="K101" s="257">
        <v>50</v>
      </c>
      <c r="L101" s="257">
        <v>52</v>
      </c>
      <c r="M101" s="257">
        <v>52</v>
      </c>
      <c r="N101" s="257">
        <v>52</v>
      </c>
      <c r="O101" s="257">
        <v>54</v>
      </c>
      <c r="P101" s="257">
        <v>54</v>
      </c>
      <c r="Q101" s="257">
        <v>54</v>
      </c>
      <c r="R101" s="257">
        <v>55</v>
      </c>
      <c r="S101" s="257">
        <v>55</v>
      </c>
      <c r="T101" s="257">
        <v>55</v>
      </c>
      <c r="U101" s="230">
        <v>7713.7999999999993</v>
      </c>
      <c r="V101" s="258">
        <v>1943.0000000000002</v>
      </c>
      <c r="W101" s="258">
        <v>0</v>
      </c>
      <c r="X101" s="258">
        <v>0</v>
      </c>
      <c r="Y101" s="258">
        <v>0</v>
      </c>
    </row>
    <row r="102" spans="1:25" s="4" customFormat="1" ht="72" x14ac:dyDescent="0.3">
      <c r="A102" s="851"/>
      <c r="B102" s="852"/>
      <c r="C102" s="859" t="s">
        <v>1284</v>
      </c>
      <c r="D102" s="734"/>
      <c r="E102" s="890"/>
      <c r="F102" s="245" t="s">
        <v>197</v>
      </c>
      <c r="G102" s="257" t="s">
        <v>74</v>
      </c>
      <c r="H102" s="65">
        <v>58658</v>
      </c>
      <c r="I102" s="65">
        <v>69479</v>
      </c>
      <c r="J102" s="65">
        <v>71691</v>
      </c>
      <c r="K102" s="65">
        <v>75167</v>
      </c>
      <c r="L102" s="65">
        <v>75168</v>
      </c>
      <c r="M102" s="65">
        <v>75320</v>
      </c>
      <c r="N102" s="65">
        <v>75460</v>
      </c>
      <c r="O102" s="65">
        <v>75083</v>
      </c>
      <c r="P102" s="65">
        <v>75810</v>
      </c>
      <c r="Q102" s="65">
        <v>75990</v>
      </c>
      <c r="R102" s="65">
        <v>76128</v>
      </c>
      <c r="S102" s="65">
        <v>76972</v>
      </c>
      <c r="T102" s="65">
        <v>76000</v>
      </c>
      <c r="U102" s="773">
        <v>0</v>
      </c>
      <c r="V102" s="791">
        <v>0</v>
      </c>
      <c r="W102" s="791">
        <v>0</v>
      </c>
      <c r="X102" s="791">
        <v>0</v>
      </c>
      <c r="Y102" s="791">
        <v>0</v>
      </c>
    </row>
    <row r="103" spans="1:25" s="4" customFormat="1" ht="96" x14ac:dyDescent="0.3">
      <c r="A103" s="851"/>
      <c r="B103" s="852"/>
      <c r="C103" s="861"/>
      <c r="D103" s="734"/>
      <c r="E103" s="890"/>
      <c r="F103" s="232" t="s">
        <v>1056</v>
      </c>
      <c r="G103" s="257" t="s">
        <v>62</v>
      </c>
      <c r="H103" s="257">
        <v>34.85</v>
      </c>
      <c r="I103" s="257">
        <v>40.32</v>
      </c>
      <c r="J103" s="257">
        <v>41.6</v>
      </c>
      <c r="K103" s="257">
        <v>43.13</v>
      </c>
      <c r="L103" s="257">
        <v>43.47</v>
      </c>
      <c r="M103" s="257">
        <v>43.48</v>
      </c>
      <c r="N103" s="257">
        <v>43.49</v>
      </c>
      <c r="O103" s="257">
        <v>43.5</v>
      </c>
      <c r="P103" s="257">
        <v>43.55</v>
      </c>
      <c r="Q103" s="257">
        <v>43.58</v>
      </c>
      <c r="R103" s="257">
        <v>43.59</v>
      </c>
      <c r="S103" s="257">
        <v>44</v>
      </c>
      <c r="T103" s="257">
        <v>44.1</v>
      </c>
      <c r="U103" s="774"/>
      <c r="V103" s="792"/>
      <c r="W103" s="792"/>
      <c r="X103" s="792"/>
      <c r="Y103" s="792"/>
    </row>
    <row r="104" spans="1:25" s="4" customFormat="1" ht="168" x14ac:dyDescent="0.3">
      <c r="A104" s="797"/>
      <c r="B104" s="805"/>
      <c r="C104" s="243" t="s">
        <v>1285</v>
      </c>
      <c r="D104" s="729"/>
      <c r="E104" s="891"/>
      <c r="F104" s="245" t="s">
        <v>198</v>
      </c>
      <c r="G104" s="257" t="s">
        <v>62</v>
      </c>
      <c r="H104" s="257">
        <v>8</v>
      </c>
      <c r="I104" s="257">
        <v>9</v>
      </c>
      <c r="J104" s="257">
        <v>8.6999999999999993</v>
      </c>
      <c r="K104" s="257">
        <v>9</v>
      </c>
      <c r="L104" s="257">
        <v>9</v>
      </c>
      <c r="M104" s="257">
        <v>9</v>
      </c>
      <c r="N104" s="257">
        <v>9</v>
      </c>
      <c r="O104" s="257">
        <v>9</v>
      </c>
      <c r="P104" s="257">
        <v>10</v>
      </c>
      <c r="Q104" s="257">
        <v>10</v>
      </c>
      <c r="R104" s="257">
        <v>11</v>
      </c>
      <c r="S104" s="257">
        <v>12</v>
      </c>
      <c r="T104" s="257">
        <v>14</v>
      </c>
      <c r="U104" s="230">
        <v>9456</v>
      </c>
      <c r="V104" s="258">
        <v>9456</v>
      </c>
      <c r="W104" s="258">
        <v>0</v>
      </c>
      <c r="X104" s="258">
        <v>0</v>
      </c>
      <c r="Y104" s="258">
        <v>0</v>
      </c>
    </row>
    <row r="105" spans="1:25" ht="24" x14ac:dyDescent="0.3">
      <c r="A105" s="66" t="s">
        <v>199</v>
      </c>
      <c r="B105" s="927" t="s">
        <v>200</v>
      </c>
      <c r="C105" s="927"/>
      <c r="D105" s="927"/>
      <c r="E105" s="927"/>
      <c r="F105" s="927"/>
      <c r="G105" s="927"/>
      <c r="H105" s="927"/>
      <c r="I105" s="927"/>
      <c r="J105" s="927"/>
      <c r="K105" s="927"/>
      <c r="L105" s="927"/>
      <c r="M105" s="927"/>
      <c r="N105" s="927"/>
      <c r="O105" s="927"/>
      <c r="P105" s="927"/>
      <c r="Q105" s="927"/>
      <c r="R105" s="927"/>
      <c r="S105" s="927"/>
      <c r="T105" s="927"/>
      <c r="U105" s="51"/>
      <c r="V105" s="52"/>
      <c r="W105" s="52"/>
      <c r="X105" s="52"/>
      <c r="Y105" s="52"/>
    </row>
    <row r="106" spans="1:25" s="4" customFormat="1" ht="321" x14ac:dyDescent="0.3">
      <c r="A106" s="47" t="s">
        <v>201</v>
      </c>
      <c r="B106" s="242" t="s">
        <v>1192</v>
      </c>
      <c r="C106" s="250" t="s">
        <v>1199</v>
      </c>
      <c r="D106" s="257" t="s">
        <v>202</v>
      </c>
      <c r="E106" s="257" t="s">
        <v>203</v>
      </c>
      <c r="F106" s="817" t="s">
        <v>1057</v>
      </c>
      <c r="G106" s="728" t="s">
        <v>1120</v>
      </c>
      <c r="H106" s="728" t="s">
        <v>1121</v>
      </c>
      <c r="I106" s="728" t="s">
        <v>1121</v>
      </c>
      <c r="J106" s="728" t="s">
        <v>1122</v>
      </c>
      <c r="K106" s="728" t="s">
        <v>1122</v>
      </c>
      <c r="L106" s="728" t="s">
        <v>1122</v>
      </c>
      <c r="M106" s="728" t="s">
        <v>1122</v>
      </c>
      <c r="N106" s="728" t="s">
        <v>1122</v>
      </c>
      <c r="O106" s="728" t="s">
        <v>1123</v>
      </c>
      <c r="P106" s="728" t="s">
        <v>1123</v>
      </c>
      <c r="Q106" s="728" t="s">
        <v>1123</v>
      </c>
      <c r="R106" s="728" t="s">
        <v>1123</v>
      </c>
      <c r="S106" s="728" t="s">
        <v>1123</v>
      </c>
      <c r="T106" s="728" t="s">
        <v>1123</v>
      </c>
      <c r="U106" s="230">
        <v>1055300</v>
      </c>
      <c r="V106" s="258">
        <v>0</v>
      </c>
      <c r="W106" s="258">
        <v>0</v>
      </c>
      <c r="X106" s="258">
        <v>0</v>
      </c>
      <c r="Y106" s="258">
        <v>1055300</v>
      </c>
    </row>
    <row r="107" spans="1:25" s="4" customFormat="1" ht="144" x14ac:dyDescent="0.3">
      <c r="A107" s="47" t="s">
        <v>214</v>
      </c>
      <c r="B107" s="242" t="s">
        <v>205</v>
      </c>
      <c r="C107" s="250" t="s">
        <v>855</v>
      </c>
      <c r="D107" s="257" t="s">
        <v>190</v>
      </c>
      <c r="E107" s="257" t="s">
        <v>206</v>
      </c>
      <c r="F107" s="868"/>
      <c r="G107" s="734"/>
      <c r="H107" s="734"/>
      <c r="I107" s="734"/>
      <c r="J107" s="734"/>
      <c r="K107" s="734"/>
      <c r="L107" s="734"/>
      <c r="M107" s="734"/>
      <c r="N107" s="734"/>
      <c r="O107" s="734"/>
      <c r="P107" s="734"/>
      <c r="Q107" s="734"/>
      <c r="R107" s="734"/>
      <c r="S107" s="734"/>
      <c r="T107" s="734"/>
      <c r="U107" s="230">
        <v>620000</v>
      </c>
      <c r="V107" s="258">
        <v>0</v>
      </c>
      <c r="W107" s="258">
        <v>0</v>
      </c>
      <c r="X107" s="258">
        <v>0</v>
      </c>
      <c r="Y107" s="258">
        <v>0</v>
      </c>
    </row>
    <row r="108" spans="1:25" s="4" customFormat="1" ht="216" x14ac:dyDescent="0.3">
      <c r="A108" s="47" t="s">
        <v>204</v>
      </c>
      <c r="B108" s="72" t="s">
        <v>1435</v>
      </c>
      <c r="C108" s="242" t="s">
        <v>1434</v>
      </c>
      <c r="D108" s="42" t="s">
        <v>1145</v>
      </c>
      <c r="E108" s="257" t="s">
        <v>209</v>
      </c>
      <c r="F108" s="868"/>
      <c r="G108" s="734"/>
      <c r="H108" s="734"/>
      <c r="I108" s="734"/>
      <c r="J108" s="734"/>
      <c r="K108" s="734"/>
      <c r="L108" s="734"/>
      <c r="M108" s="734"/>
      <c r="N108" s="734"/>
      <c r="O108" s="734"/>
      <c r="P108" s="734"/>
      <c r="Q108" s="734"/>
      <c r="R108" s="734"/>
      <c r="S108" s="734"/>
      <c r="T108" s="734"/>
      <c r="U108" s="230">
        <v>0</v>
      </c>
      <c r="V108" s="258">
        <v>0</v>
      </c>
      <c r="W108" s="258">
        <v>0</v>
      </c>
      <c r="X108" s="258">
        <v>0</v>
      </c>
      <c r="Y108" s="258">
        <v>0</v>
      </c>
    </row>
    <row r="109" spans="1:25" s="4" customFormat="1" ht="192" x14ac:dyDescent="0.3">
      <c r="A109" s="47" t="s">
        <v>207</v>
      </c>
      <c r="B109" s="243" t="s">
        <v>211</v>
      </c>
      <c r="C109" s="250" t="s">
        <v>212</v>
      </c>
      <c r="D109" s="42" t="s">
        <v>1145</v>
      </c>
      <c r="E109" s="257" t="s">
        <v>213</v>
      </c>
      <c r="F109" s="818"/>
      <c r="G109" s="729"/>
      <c r="H109" s="729"/>
      <c r="I109" s="729"/>
      <c r="J109" s="729"/>
      <c r="K109" s="729"/>
      <c r="L109" s="729"/>
      <c r="M109" s="729"/>
      <c r="N109" s="729"/>
      <c r="O109" s="729"/>
      <c r="P109" s="729"/>
      <c r="Q109" s="729"/>
      <c r="R109" s="729"/>
      <c r="S109" s="729"/>
      <c r="T109" s="729"/>
      <c r="U109" s="230">
        <v>0</v>
      </c>
      <c r="V109" s="258">
        <v>0</v>
      </c>
      <c r="W109" s="258">
        <v>0</v>
      </c>
      <c r="X109" s="258">
        <v>0</v>
      </c>
      <c r="Y109" s="258">
        <v>0</v>
      </c>
    </row>
    <row r="110" spans="1:25" s="4" customFormat="1" ht="96" x14ac:dyDescent="0.3">
      <c r="A110" s="47" t="s">
        <v>219</v>
      </c>
      <c r="B110" s="242" t="s">
        <v>215</v>
      </c>
      <c r="C110" s="250" t="s">
        <v>216</v>
      </c>
      <c r="D110" s="257" t="s">
        <v>190</v>
      </c>
      <c r="E110" s="257" t="s">
        <v>217</v>
      </c>
      <c r="F110" s="245" t="s">
        <v>218</v>
      </c>
      <c r="G110" s="257"/>
      <c r="H110" s="257"/>
      <c r="I110" s="257"/>
      <c r="J110" s="257"/>
      <c r="K110" s="257"/>
      <c r="L110" s="257"/>
      <c r="M110" s="257"/>
      <c r="N110" s="257"/>
      <c r="O110" s="257"/>
      <c r="P110" s="257"/>
      <c r="Q110" s="257"/>
      <c r="R110" s="257"/>
      <c r="S110" s="257"/>
      <c r="T110" s="257"/>
      <c r="U110" s="230">
        <v>9200</v>
      </c>
      <c r="V110" s="258">
        <v>0</v>
      </c>
      <c r="W110" s="258">
        <v>0</v>
      </c>
      <c r="X110" s="258">
        <v>0</v>
      </c>
      <c r="Y110" s="258">
        <v>0</v>
      </c>
    </row>
    <row r="111" spans="1:25" s="4" customFormat="1" ht="216" x14ac:dyDescent="0.3">
      <c r="A111" s="47" t="s">
        <v>210</v>
      </c>
      <c r="B111" s="242" t="s">
        <v>1021</v>
      </c>
      <c r="C111" s="250" t="s">
        <v>1022</v>
      </c>
      <c r="D111" s="257" t="s">
        <v>28</v>
      </c>
      <c r="E111" s="257" t="s">
        <v>220</v>
      </c>
      <c r="F111" s="245" t="s">
        <v>1030</v>
      </c>
      <c r="G111" s="40" t="s">
        <v>62</v>
      </c>
      <c r="H111" s="257">
        <v>0</v>
      </c>
      <c r="I111" s="257">
        <v>0</v>
      </c>
      <c r="J111" s="257">
        <v>0</v>
      </c>
      <c r="K111" s="257">
        <v>0</v>
      </c>
      <c r="L111" s="257">
        <v>10</v>
      </c>
      <c r="M111" s="257">
        <v>20</v>
      </c>
      <c r="N111" s="257">
        <v>30</v>
      </c>
      <c r="O111" s="257">
        <v>50</v>
      </c>
      <c r="P111" s="257">
        <v>60</v>
      </c>
      <c r="Q111" s="257">
        <v>70</v>
      </c>
      <c r="R111" s="257">
        <v>80</v>
      </c>
      <c r="S111" s="257">
        <v>80</v>
      </c>
      <c r="T111" s="257">
        <v>80</v>
      </c>
      <c r="U111" s="230">
        <v>334567.8</v>
      </c>
      <c r="V111" s="258">
        <v>0</v>
      </c>
      <c r="W111" s="258">
        <v>0</v>
      </c>
      <c r="X111" s="258">
        <v>0</v>
      </c>
      <c r="Y111" s="258">
        <v>0</v>
      </c>
    </row>
    <row r="112" spans="1:25" ht="24" x14ac:dyDescent="0.3">
      <c r="A112" s="67" t="s">
        <v>221</v>
      </c>
      <c r="B112" s="946" t="s">
        <v>222</v>
      </c>
      <c r="C112" s="946"/>
      <c r="D112" s="946"/>
      <c r="E112" s="946"/>
      <c r="F112" s="946"/>
      <c r="G112" s="946"/>
      <c r="H112" s="946"/>
      <c r="I112" s="946"/>
      <c r="J112" s="946"/>
      <c r="K112" s="946"/>
      <c r="L112" s="946"/>
      <c r="M112" s="946"/>
      <c r="N112" s="946"/>
      <c r="O112" s="946"/>
      <c r="P112" s="946"/>
      <c r="Q112" s="946"/>
      <c r="R112" s="946"/>
      <c r="S112" s="946"/>
      <c r="T112" s="946"/>
      <c r="U112" s="56"/>
      <c r="V112" s="57"/>
      <c r="W112" s="57"/>
      <c r="X112" s="57"/>
      <c r="Y112" s="57"/>
    </row>
    <row r="113" spans="1:25" ht="24" x14ac:dyDescent="0.3">
      <c r="A113" s="66" t="s">
        <v>223</v>
      </c>
      <c r="B113" s="927" t="s">
        <v>224</v>
      </c>
      <c r="C113" s="927"/>
      <c r="D113" s="927"/>
      <c r="E113" s="927"/>
      <c r="F113" s="927"/>
      <c r="G113" s="927"/>
      <c r="H113" s="927"/>
      <c r="I113" s="927"/>
      <c r="J113" s="927"/>
      <c r="K113" s="927"/>
      <c r="L113" s="927"/>
      <c r="M113" s="927"/>
      <c r="N113" s="927"/>
      <c r="O113" s="927"/>
      <c r="P113" s="927"/>
      <c r="Q113" s="927"/>
      <c r="R113" s="927"/>
      <c r="S113" s="927"/>
      <c r="T113" s="927"/>
      <c r="U113" s="51"/>
      <c r="V113" s="52"/>
      <c r="W113" s="52"/>
      <c r="X113" s="52"/>
      <c r="Y113" s="52"/>
    </row>
    <row r="114" spans="1:25" s="4" customFormat="1" ht="192" x14ac:dyDescent="0.3">
      <c r="A114" s="47" t="s">
        <v>225</v>
      </c>
      <c r="B114" s="134" t="s">
        <v>1064</v>
      </c>
      <c r="C114" s="243" t="s">
        <v>1059</v>
      </c>
      <c r="D114" s="257" t="s">
        <v>1239</v>
      </c>
      <c r="E114" s="257" t="s">
        <v>52</v>
      </c>
      <c r="F114" s="73" t="s">
        <v>1058</v>
      </c>
      <c r="G114" s="257" t="s">
        <v>31</v>
      </c>
      <c r="H114" s="44">
        <v>24</v>
      </c>
      <c r="I114" s="44">
        <v>35</v>
      </c>
      <c r="J114" s="44">
        <v>37</v>
      </c>
      <c r="K114" s="44">
        <v>37</v>
      </c>
      <c r="L114" s="44">
        <v>38</v>
      </c>
      <c r="M114" s="44">
        <v>38</v>
      </c>
      <c r="N114" s="44">
        <v>38</v>
      </c>
      <c r="O114" s="44">
        <v>40</v>
      </c>
      <c r="P114" s="44">
        <v>40</v>
      </c>
      <c r="Q114" s="44">
        <v>40</v>
      </c>
      <c r="R114" s="44">
        <v>45</v>
      </c>
      <c r="S114" s="44">
        <v>45</v>
      </c>
      <c r="T114" s="44">
        <v>45</v>
      </c>
      <c r="U114" s="230">
        <v>19200</v>
      </c>
      <c r="V114" s="258">
        <v>1800</v>
      </c>
      <c r="W114" s="258">
        <v>3000</v>
      </c>
      <c r="X114" s="258">
        <v>0</v>
      </c>
      <c r="Y114" s="258">
        <v>0</v>
      </c>
    </row>
    <row r="115" spans="1:25" s="4" customFormat="1" ht="312" x14ac:dyDescent="0.3">
      <c r="A115" s="47" t="s">
        <v>227</v>
      </c>
      <c r="B115" s="250" t="s">
        <v>1065</v>
      </c>
      <c r="C115" s="243" t="s">
        <v>1061</v>
      </c>
      <c r="D115" s="257" t="s">
        <v>1239</v>
      </c>
      <c r="E115" s="257" t="s">
        <v>52</v>
      </c>
      <c r="F115" s="74" t="s">
        <v>1060</v>
      </c>
      <c r="G115" s="257" t="s">
        <v>62</v>
      </c>
      <c r="H115" s="124">
        <v>41</v>
      </c>
      <c r="I115" s="124">
        <v>47.3</v>
      </c>
      <c r="J115" s="124">
        <v>47.8</v>
      </c>
      <c r="K115" s="124">
        <v>47.8</v>
      </c>
      <c r="L115" s="124">
        <v>48</v>
      </c>
      <c r="M115" s="124">
        <v>48</v>
      </c>
      <c r="N115" s="124">
        <v>48</v>
      </c>
      <c r="O115" s="124">
        <v>48.2</v>
      </c>
      <c r="P115" s="124">
        <v>48.2</v>
      </c>
      <c r="Q115" s="124">
        <v>48.2</v>
      </c>
      <c r="R115" s="124">
        <v>48.5</v>
      </c>
      <c r="S115" s="124">
        <v>48.5</v>
      </c>
      <c r="T115" s="124">
        <v>48.5</v>
      </c>
      <c r="U115" s="230">
        <v>44452.80000000001</v>
      </c>
      <c r="V115" s="258">
        <v>7573.2000000000007</v>
      </c>
      <c r="W115" s="258">
        <v>3540</v>
      </c>
      <c r="X115" s="258">
        <v>0</v>
      </c>
      <c r="Y115" s="258">
        <v>0</v>
      </c>
    </row>
    <row r="116" spans="1:25" s="4" customFormat="1" ht="264" x14ac:dyDescent="0.3">
      <c r="A116" s="47" t="s">
        <v>228</v>
      </c>
      <c r="B116" s="135" t="s">
        <v>1066</v>
      </c>
      <c r="C116" s="243" t="s">
        <v>1063</v>
      </c>
      <c r="D116" s="257" t="s">
        <v>1239</v>
      </c>
      <c r="E116" s="257" t="s">
        <v>52</v>
      </c>
      <c r="F116" s="75" t="s">
        <v>1062</v>
      </c>
      <c r="G116" s="257" t="s">
        <v>74</v>
      </c>
      <c r="H116" s="44">
        <v>4418</v>
      </c>
      <c r="I116" s="44">
        <v>4800</v>
      </c>
      <c r="J116" s="44">
        <v>5039</v>
      </c>
      <c r="K116" s="44">
        <v>5039</v>
      </c>
      <c r="L116" s="44">
        <v>5327</v>
      </c>
      <c r="M116" s="44">
        <v>5327</v>
      </c>
      <c r="N116" s="44">
        <v>5327</v>
      </c>
      <c r="O116" s="44">
        <v>5685</v>
      </c>
      <c r="P116" s="44">
        <v>5685</v>
      </c>
      <c r="Q116" s="44">
        <v>5685</v>
      </c>
      <c r="R116" s="44">
        <v>6047</v>
      </c>
      <c r="S116" s="44">
        <v>6047</v>
      </c>
      <c r="T116" s="44">
        <v>6047</v>
      </c>
      <c r="U116" s="230">
        <v>20953.199999999997</v>
      </c>
      <c r="V116" s="258">
        <v>4105.7999999999993</v>
      </c>
      <c r="W116" s="258">
        <v>1132.5</v>
      </c>
      <c r="X116" s="258">
        <v>0</v>
      </c>
      <c r="Y116" s="258">
        <v>0</v>
      </c>
    </row>
    <row r="117" spans="1:25" ht="24" x14ac:dyDescent="0.3">
      <c r="A117" s="66" t="s">
        <v>229</v>
      </c>
      <c r="B117" s="927" t="s">
        <v>230</v>
      </c>
      <c r="C117" s="927"/>
      <c r="D117" s="927"/>
      <c r="E117" s="927"/>
      <c r="F117" s="927"/>
      <c r="G117" s="927"/>
      <c r="H117" s="927"/>
      <c r="I117" s="927"/>
      <c r="J117" s="927"/>
      <c r="K117" s="927"/>
      <c r="L117" s="927"/>
      <c r="M117" s="927"/>
      <c r="N117" s="927"/>
      <c r="O117" s="927"/>
      <c r="P117" s="927"/>
      <c r="Q117" s="927"/>
      <c r="R117" s="927"/>
      <c r="S117" s="927"/>
      <c r="T117" s="927"/>
      <c r="U117" s="51"/>
      <c r="V117" s="52"/>
      <c r="W117" s="52"/>
      <c r="X117" s="52"/>
      <c r="Y117" s="52"/>
    </row>
    <row r="118" spans="1:25" s="4" customFormat="1" ht="216" x14ac:dyDescent="0.3">
      <c r="A118" s="47" t="s">
        <v>1251</v>
      </c>
      <c r="B118" s="242" t="s">
        <v>232</v>
      </c>
      <c r="C118" s="243" t="s">
        <v>1287</v>
      </c>
      <c r="D118" s="257" t="s">
        <v>1144</v>
      </c>
      <c r="E118" s="257" t="s">
        <v>52</v>
      </c>
      <c r="F118" s="245" t="s">
        <v>231</v>
      </c>
      <c r="G118" s="257" t="s">
        <v>74</v>
      </c>
      <c r="H118" s="257">
        <v>0</v>
      </c>
      <c r="I118" s="257">
        <v>10</v>
      </c>
      <c r="J118" s="257">
        <v>10</v>
      </c>
      <c r="K118" s="257">
        <v>10</v>
      </c>
      <c r="L118" s="257">
        <v>15</v>
      </c>
      <c r="M118" s="257">
        <v>15</v>
      </c>
      <c r="N118" s="257">
        <v>15</v>
      </c>
      <c r="O118" s="257">
        <v>20</v>
      </c>
      <c r="P118" s="257">
        <v>20</v>
      </c>
      <c r="Q118" s="257">
        <v>20</v>
      </c>
      <c r="R118" s="257">
        <v>30</v>
      </c>
      <c r="S118" s="257">
        <v>30</v>
      </c>
      <c r="T118" s="257">
        <v>30</v>
      </c>
      <c r="U118" s="230">
        <v>600</v>
      </c>
      <c r="V118" s="258">
        <v>150</v>
      </c>
      <c r="W118" s="258">
        <v>0</v>
      </c>
      <c r="X118" s="258">
        <v>0</v>
      </c>
      <c r="Y118" s="258">
        <v>0</v>
      </c>
    </row>
    <row r="119" spans="1:25" s="4" customFormat="1" ht="384" x14ac:dyDescent="0.3">
      <c r="A119" s="47" t="s">
        <v>1252</v>
      </c>
      <c r="B119" s="134" t="s">
        <v>1069</v>
      </c>
      <c r="C119" s="243" t="s">
        <v>1138</v>
      </c>
      <c r="D119" s="257" t="s">
        <v>1067</v>
      </c>
      <c r="E119" s="257" t="s">
        <v>52</v>
      </c>
      <c r="F119" s="73" t="s">
        <v>1068</v>
      </c>
      <c r="G119" s="257" t="s">
        <v>74</v>
      </c>
      <c r="H119" s="65">
        <v>23988</v>
      </c>
      <c r="I119" s="65">
        <v>25200</v>
      </c>
      <c r="J119" s="65">
        <v>25200</v>
      </c>
      <c r="K119" s="65">
        <v>25200</v>
      </c>
      <c r="L119" s="65">
        <v>25340</v>
      </c>
      <c r="M119" s="65">
        <v>25340</v>
      </c>
      <c r="N119" s="65">
        <v>25340</v>
      </c>
      <c r="O119" s="65">
        <v>25520</v>
      </c>
      <c r="P119" s="65">
        <v>25520</v>
      </c>
      <c r="Q119" s="65">
        <v>25520</v>
      </c>
      <c r="R119" s="65">
        <v>25850</v>
      </c>
      <c r="S119" s="65">
        <v>25850</v>
      </c>
      <c r="T119" s="65">
        <v>25850</v>
      </c>
      <c r="U119" s="230">
        <v>5316</v>
      </c>
      <c r="V119" s="258">
        <v>575.70000000000005</v>
      </c>
      <c r="W119" s="258">
        <v>753.3</v>
      </c>
      <c r="X119" s="258">
        <v>0</v>
      </c>
      <c r="Y119" s="258">
        <v>0</v>
      </c>
    </row>
    <row r="120" spans="1:25" s="4" customFormat="1" ht="168" x14ac:dyDescent="0.3">
      <c r="A120" s="47" t="s">
        <v>1095</v>
      </c>
      <c r="B120" s="242" t="s">
        <v>1071</v>
      </c>
      <c r="C120" s="243" t="s">
        <v>1288</v>
      </c>
      <c r="D120" s="257" t="s">
        <v>1067</v>
      </c>
      <c r="E120" s="257" t="s">
        <v>52</v>
      </c>
      <c r="F120" s="245" t="s">
        <v>1070</v>
      </c>
      <c r="G120" s="257" t="s">
        <v>74</v>
      </c>
      <c r="H120" s="257">
        <v>18</v>
      </c>
      <c r="I120" s="44">
        <v>40</v>
      </c>
      <c r="J120" s="44">
        <v>40</v>
      </c>
      <c r="K120" s="44">
        <v>40</v>
      </c>
      <c r="L120" s="44">
        <v>42</v>
      </c>
      <c r="M120" s="44">
        <v>42</v>
      </c>
      <c r="N120" s="44">
        <v>42</v>
      </c>
      <c r="O120" s="44">
        <v>45</v>
      </c>
      <c r="P120" s="44">
        <v>45</v>
      </c>
      <c r="Q120" s="44">
        <v>45</v>
      </c>
      <c r="R120" s="44">
        <v>50</v>
      </c>
      <c r="S120" s="44">
        <v>50</v>
      </c>
      <c r="T120" s="44">
        <v>50</v>
      </c>
      <c r="U120" s="230">
        <v>2313.5999999999995</v>
      </c>
      <c r="V120" s="258">
        <v>643.20000000000005</v>
      </c>
      <c r="W120" s="258">
        <v>0</v>
      </c>
      <c r="X120" s="258">
        <v>0</v>
      </c>
      <c r="Y120" s="258">
        <v>0</v>
      </c>
    </row>
    <row r="121" spans="1:25" ht="24" x14ac:dyDescent="0.3">
      <c r="A121" s="66" t="s">
        <v>233</v>
      </c>
      <c r="B121" s="927" t="s">
        <v>234</v>
      </c>
      <c r="C121" s="927"/>
      <c r="D121" s="927"/>
      <c r="E121" s="927"/>
      <c r="F121" s="927"/>
      <c r="G121" s="927"/>
      <c r="H121" s="927"/>
      <c r="I121" s="927"/>
      <c r="J121" s="927"/>
      <c r="K121" s="927"/>
      <c r="L121" s="927"/>
      <c r="M121" s="927"/>
      <c r="N121" s="927"/>
      <c r="O121" s="927"/>
      <c r="P121" s="927"/>
      <c r="Q121" s="927"/>
      <c r="R121" s="927"/>
      <c r="S121" s="927"/>
      <c r="T121" s="927"/>
      <c r="U121" s="51"/>
      <c r="V121" s="52"/>
      <c r="W121" s="52"/>
      <c r="X121" s="52"/>
      <c r="Y121" s="52"/>
    </row>
    <row r="122" spans="1:25" s="4" customFormat="1" ht="72" x14ac:dyDescent="0.3">
      <c r="A122" s="862" t="s">
        <v>235</v>
      </c>
      <c r="B122" s="859" t="s">
        <v>236</v>
      </c>
      <c r="C122" s="859" t="s">
        <v>1289</v>
      </c>
      <c r="D122" s="714" t="s">
        <v>237</v>
      </c>
      <c r="E122" s="714" t="s">
        <v>52</v>
      </c>
      <c r="F122" s="245" t="s">
        <v>1002</v>
      </c>
      <c r="G122" s="257" t="s">
        <v>74</v>
      </c>
      <c r="H122" s="257">
        <v>743</v>
      </c>
      <c r="I122" s="257">
        <v>805</v>
      </c>
      <c r="J122" s="257">
        <v>805</v>
      </c>
      <c r="K122" s="257">
        <v>805</v>
      </c>
      <c r="L122" s="257">
        <v>805</v>
      </c>
      <c r="M122" s="257">
        <v>805</v>
      </c>
      <c r="N122" s="257">
        <v>805</v>
      </c>
      <c r="O122" s="257">
        <v>805</v>
      </c>
      <c r="P122" s="257">
        <v>805</v>
      </c>
      <c r="Q122" s="257">
        <v>805</v>
      </c>
      <c r="R122" s="257">
        <v>805</v>
      </c>
      <c r="S122" s="257">
        <v>805</v>
      </c>
      <c r="T122" s="257">
        <v>805</v>
      </c>
      <c r="U122" s="773">
        <v>577032</v>
      </c>
      <c r="V122" s="791">
        <v>23146.800000000003</v>
      </c>
      <c r="W122" s="791">
        <v>28285.199999999993</v>
      </c>
      <c r="X122" s="791">
        <v>0</v>
      </c>
      <c r="Y122" s="791">
        <v>525600</v>
      </c>
    </row>
    <row r="123" spans="1:25" s="4" customFormat="1" ht="192" x14ac:dyDescent="0.3">
      <c r="A123" s="863"/>
      <c r="B123" s="861"/>
      <c r="C123" s="861"/>
      <c r="D123" s="715"/>
      <c r="E123" s="715"/>
      <c r="F123" s="245" t="s">
        <v>238</v>
      </c>
      <c r="G123" s="257" t="s">
        <v>62</v>
      </c>
      <c r="H123" s="257" t="s">
        <v>140</v>
      </c>
      <c r="I123" s="257">
        <v>7.9</v>
      </c>
      <c r="J123" s="257">
        <v>7.9</v>
      </c>
      <c r="K123" s="257">
        <v>7.9</v>
      </c>
      <c r="L123" s="257">
        <v>7.9</v>
      </c>
      <c r="M123" s="257">
        <v>7.9</v>
      </c>
      <c r="N123" s="257">
        <v>7.9</v>
      </c>
      <c r="O123" s="257">
        <v>7.9</v>
      </c>
      <c r="P123" s="257">
        <v>7.9</v>
      </c>
      <c r="Q123" s="257">
        <v>7.9</v>
      </c>
      <c r="R123" s="257">
        <v>7.9</v>
      </c>
      <c r="S123" s="257">
        <v>7.9</v>
      </c>
      <c r="T123" s="257">
        <v>7.9</v>
      </c>
      <c r="U123" s="774"/>
      <c r="V123" s="792"/>
      <c r="W123" s="792"/>
      <c r="X123" s="792"/>
      <c r="Y123" s="792"/>
    </row>
    <row r="124" spans="1:25" s="4" customFormat="1" ht="72" x14ac:dyDescent="0.3">
      <c r="A124" s="47" t="s">
        <v>239</v>
      </c>
      <c r="B124" s="242" t="s">
        <v>240</v>
      </c>
      <c r="C124" s="243" t="s">
        <v>1290</v>
      </c>
      <c r="D124" s="257" t="s">
        <v>241</v>
      </c>
      <c r="E124" s="257" t="s">
        <v>52</v>
      </c>
      <c r="F124" s="245" t="s">
        <v>242</v>
      </c>
      <c r="G124" s="257" t="s">
        <v>74</v>
      </c>
      <c r="H124" s="257">
        <v>0</v>
      </c>
      <c r="I124" s="257">
        <v>80</v>
      </c>
      <c r="J124" s="257">
        <v>80</v>
      </c>
      <c r="K124" s="257">
        <v>80</v>
      </c>
      <c r="L124" s="257">
        <v>80</v>
      </c>
      <c r="M124" s="257">
        <v>80</v>
      </c>
      <c r="N124" s="257">
        <v>80</v>
      </c>
      <c r="O124" s="257">
        <v>80</v>
      </c>
      <c r="P124" s="257">
        <v>80</v>
      </c>
      <c r="Q124" s="257">
        <v>80</v>
      </c>
      <c r="R124" s="257">
        <v>80</v>
      </c>
      <c r="S124" s="257">
        <v>80</v>
      </c>
      <c r="T124" s="257">
        <v>80</v>
      </c>
      <c r="U124" s="230">
        <v>0</v>
      </c>
      <c r="V124" s="258">
        <v>0</v>
      </c>
      <c r="W124" s="258">
        <v>0</v>
      </c>
      <c r="X124" s="258">
        <v>0</v>
      </c>
      <c r="Y124" s="258">
        <v>0</v>
      </c>
    </row>
    <row r="125" spans="1:25" s="4" customFormat="1" ht="190.5" customHeight="1" x14ac:dyDescent="0.3">
      <c r="A125" s="229" t="s">
        <v>243</v>
      </c>
      <c r="B125" s="233" t="s">
        <v>1072</v>
      </c>
      <c r="C125" s="233" t="s">
        <v>1291</v>
      </c>
      <c r="D125" s="257" t="s">
        <v>1067</v>
      </c>
      <c r="E125" s="257" t="s">
        <v>91</v>
      </c>
      <c r="F125" s="245" t="s">
        <v>226</v>
      </c>
      <c r="G125" s="257" t="s">
        <v>62</v>
      </c>
      <c r="H125" s="257">
        <v>0</v>
      </c>
      <c r="I125" s="44">
        <v>0</v>
      </c>
      <c r="J125" s="118">
        <v>0.42</v>
      </c>
      <c r="K125" s="118">
        <v>0.42</v>
      </c>
      <c r="L125" s="118">
        <v>0.45</v>
      </c>
      <c r="M125" s="118">
        <v>0.45</v>
      </c>
      <c r="N125" s="118">
        <v>0.45</v>
      </c>
      <c r="O125" s="118">
        <v>0.47</v>
      </c>
      <c r="P125" s="118">
        <v>0.47</v>
      </c>
      <c r="Q125" s="118">
        <v>0.47</v>
      </c>
      <c r="R125" s="118">
        <v>0.5</v>
      </c>
      <c r="S125" s="118">
        <v>0.5</v>
      </c>
      <c r="T125" s="118">
        <v>0.5</v>
      </c>
      <c r="U125" s="230">
        <v>770</v>
      </c>
      <c r="V125" s="258">
        <v>100</v>
      </c>
      <c r="W125" s="258">
        <v>40</v>
      </c>
      <c r="X125" s="258">
        <v>0</v>
      </c>
      <c r="Y125" s="258">
        <v>0</v>
      </c>
    </row>
    <row r="126" spans="1:25" s="4" customFormat="1" ht="144" x14ac:dyDescent="0.3">
      <c r="A126" s="229" t="s">
        <v>244</v>
      </c>
      <c r="B126" s="247" t="s">
        <v>932</v>
      </c>
      <c r="C126" s="247" t="s">
        <v>1292</v>
      </c>
      <c r="D126" s="257" t="s">
        <v>190</v>
      </c>
      <c r="E126" s="257" t="s">
        <v>52</v>
      </c>
      <c r="F126" s="245" t="s">
        <v>192</v>
      </c>
      <c r="G126" s="257" t="s">
        <v>31</v>
      </c>
      <c r="H126" s="257">
        <v>552</v>
      </c>
      <c r="I126" s="44">
        <v>550</v>
      </c>
      <c r="J126" s="44">
        <v>550</v>
      </c>
      <c r="K126" s="44">
        <v>550</v>
      </c>
      <c r="L126" s="44">
        <v>550</v>
      </c>
      <c r="M126" s="44">
        <v>550</v>
      </c>
      <c r="N126" s="44">
        <v>550</v>
      </c>
      <c r="O126" s="44">
        <v>550</v>
      </c>
      <c r="P126" s="44">
        <v>550</v>
      </c>
      <c r="Q126" s="44">
        <v>550</v>
      </c>
      <c r="R126" s="44">
        <v>550</v>
      </c>
      <c r="S126" s="44">
        <v>550</v>
      </c>
      <c r="T126" s="44">
        <v>550</v>
      </c>
      <c r="U126" s="230">
        <v>70101.400000000009</v>
      </c>
      <c r="V126" s="258">
        <v>70101.400000000009</v>
      </c>
      <c r="W126" s="258">
        <v>0</v>
      </c>
      <c r="X126" s="258">
        <v>0</v>
      </c>
      <c r="Y126" s="258">
        <v>0</v>
      </c>
    </row>
    <row r="127" spans="1:25" ht="24" x14ac:dyDescent="0.3">
      <c r="A127" s="67" t="s">
        <v>245</v>
      </c>
      <c r="B127" s="946" t="s">
        <v>246</v>
      </c>
      <c r="C127" s="946"/>
      <c r="D127" s="946"/>
      <c r="E127" s="946"/>
      <c r="F127" s="946"/>
      <c r="G127" s="946"/>
      <c r="H127" s="946"/>
      <c r="I127" s="946"/>
      <c r="J127" s="946"/>
      <c r="K127" s="946"/>
      <c r="L127" s="946"/>
      <c r="M127" s="946"/>
      <c r="N127" s="946"/>
      <c r="O127" s="946"/>
      <c r="P127" s="946"/>
      <c r="Q127" s="946"/>
      <c r="R127" s="946"/>
      <c r="S127" s="946"/>
      <c r="T127" s="946"/>
      <c r="U127" s="56"/>
      <c r="V127" s="57"/>
      <c r="W127" s="57"/>
      <c r="X127" s="57"/>
      <c r="Y127" s="57"/>
    </row>
    <row r="128" spans="1:25" ht="24" x14ac:dyDescent="0.3">
      <c r="A128" s="66" t="s">
        <v>247</v>
      </c>
      <c r="B128" s="927" t="s">
        <v>248</v>
      </c>
      <c r="C128" s="927"/>
      <c r="D128" s="927"/>
      <c r="E128" s="927"/>
      <c r="F128" s="927"/>
      <c r="G128" s="927"/>
      <c r="H128" s="927"/>
      <c r="I128" s="927"/>
      <c r="J128" s="927"/>
      <c r="K128" s="927"/>
      <c r="L128" s="927"/>
      <c r="M128" s="927"/>
      <c r="N128" s="927"/>
      <c r="O128" s="927"/>
      <c r="P128" s="927"/>
      <c r="Q128" s="927"/>
      <c r="R128" s="927"/>
      <c r="S128" s="927"/>
      <c r="T128" s="927"/>
      <c r="U128" s="51"/>
      <c r="V128" s="52"/>
      <c r="W128" s="52"/>
      <c r="X128" s="52"/>
      <c r="Y128" s="52"/>
    </row>
    <row r="129" spans="1:25" s="4" customFormat="1" ht="216" x14ac:dyDescent="0.3">
      <c r="A129" s="877" t="s">
        <v>249</v>
      </c>
      <c r="B129" s="843" t="s">
        <v>250</v>
      </c>
      <c r="C129" s="250" t="s">
        <v>1293</v>
      </c>
      <c r="D129" s="714" t="s">
        <v>812</v>
      </c>
      <c r="E129" s="244" t="s">
        <v>52</v>
      </c>
      <c r="F129" s="74" t="s">
        <v>251</v>
      </c>
      <c r="G129" s="244" t="s">
        <v>31</v>
      </c>
      <c r="H129" s="244">
        <v>56</v>
      </c>
      <c r="I129" s="244">
        <v>64</v>
      </c>
      <c r="J129" s="244">
        <v>69</v>
      </c>
      <c r="K129" s="244">
        <v>72</v>
      </c>
      <c r="L129" s="244">
        <v>72</v>
      </c>
      <c r="M129" s="244">
        <v>72</v>
      </c>
      <c r="N129" s="244">
        <v>72</v>
      </c>
      <c r="O129" s="244">
        <v>77</v>
      </c>
      <c r="P129" s="244">
        <v>77</v>
      </c>
      <c r="Q129" s="244">
        <v>77</v>
      </c>
      <c r="R129" s="244">
        <v>77</v>
      </c>
      <c r="S129" s="244">
        <v>77</v>
      </c>
      <c r="T129" s="244">
        <v>80</v>
      </c>
      <c r="U129" s="230">
        <v>0</v>
      </c>
      <c r="V129" s="258">
        <v>0</v>
      </c>
      <c r="W129" s="258">
        <v>0</v>
      </c>
      <c r="X129" s="258">
        <v>0</v>
      </c>
      <c r="Y129" s="258">
        <v>0</v>
      </c>
    </row>
    <row r="130" spans="1:25" s="4" customFormat="1" ht="240" x14ac:dyDescent="0.3">
      <c r="A130" s="877"/>
      <c r="B130" s="843"/>
      <c r="C130" s="250" t="s">
        <v>252</v>
      </c>
      <c r="D130" s="715"/>
      <c r="E130" s="244" t="s">
        <v>52</v>
      </c>
      <c r="F130" s="74" t="s">
        <v>253</v>
      </c>
      <c r="G130" s="244" t="s">
        <v>31</v>
      </c>
      <c r="H130" s="244">
        <v>2</v>
      </c>
      <c r="I130" s="244">
        <v>3</v>
      </c>
      <c r="J130" s="244">
        <v>3</v>
      </c>
      <c r="K130" s="244">
        <v>3</v>
      </c>
      <c r="L130" s="244">
        <v>3</v>
      </c>
      <c r="M130" s="244">
        <v>3</v>
      </c>
      <c r="N130" s="244">
        <v>3</v>
      </c>
      <c r="O130" s="244">
        <v>3</v>
      </c>
      <c r="P130" s="244">
        <v>3</v>
      </c>
      <c r="Q130" s="244">
        <v>3</v>
      </c>
      <c r="R130" s="244">
        <v>3</v>
      </c>
      <c r="S130" s="244">
        <v>3</v>
      </c>
      <c r="T130" s="244">
        <v>3</v>
      </c>
      <c r="U130" s="230">
        <v>7200</v>
      </c>
      <c r="V130" s="258">
        <v>600</v>
      </c>
      <c r="W130" s="258">
        <v>0</v>
      </c>
      <c r="X130" s="258">
        <v>0</v>
      </c>
      <c r="Y130" s="258">
        <v>0</v>
      </c>
    </row>
    <row r="131" spans="1:25" ht="24" x14ac:dyDescent="0.3">
      <c r="A131" s="66" t="s">
        <v>254</v>
      </c>
      <c r="B131" s="927" t="s">
        <v>255</v>
      </c>
      <c r="C131" s="927"/>
      <c r="D131" s="927"/>
      <c r="E131" s="927"/>
      <c r="F131" s="927"/>
      <c r="G131" s="927"/>
      <c r="H131" s="927"/>
      <c r="I131" s="927"/>
      <c r="J131" s="927"/>
      <c r="K131" s="927"/>
      <c r="L131" s="927"/>
      <c r="M131" s="927"/>
      <c r="N131" s="927"/>
      <c r="O131" s="927"/>
      <c r="P131" s="927"/>
      <c r="Q131" s="927"/>
      <c r="R131" s="927"/>
      <c r="S131" s="927"/>
      <c r="T131" s="927"/>
      <c r="U131" s="51"/>
      <c r="V131" s="52"/>
      <c r="W131" s="52"/>
      <c r="X131" s="52"/>
      <c r="Y131" s="52"/>
    </row>
    <row r="132" spans="1:25" s="4" customFormat="1" ht="197.25" customHeight="1" x14ac:dyDescent="0.3">
      <c r="A132" s="862" t="s">
        <v>256</v>
      </c>
      <c r="B132" s="839" t="s">
        <v>257</v>
      </c>
      <c r="C132" s="859" t="s">
        <v>1294</v>
      </c>
      <c r="D132" s="714" t="s">
        <v>812</v>
      </c>
      <c r="E132" s="244" t="s">
        <v>258</v>
      </c>
      <c r="F132" s="245" t="s">
        <v>259</v>
      </c>
      <c r="G132" s="257" t="s">
        <v>260</v>
      </c>
      <c r="H132" s="244"/>
      <c r="I132" s="244"/>
      <c r="J132" s="244"/>
      <c r="K132" s="244"/>
      <c r="L132" s="244"/>
      <c r="M132" s="244"/>
      <c r="N132" s="244"/>
      <c r="O132" s="244"/>
      <c r="P132" s="244"/>
      <c r="Q132" s="244"/>
      <c r="R132" s="244"/>
      <c r="S132" s="244"/>
      <c r="T132" s="257">
        <v>1</v>
      </c>
      <c r="U132" s="773">
        <v>0</v>
      </c>
      <c r="V132" s="791">
        <v>0</v>
      </c>
      <c r="W132" s="791">
        <v>0</v>
      </c>
      <c r="X132" s="791">
        <v>0</v>
      </c>
      <c r="Y132" s="791">
        <v>0</v>
      </c>
    </row>
    <row r="133" spans="1:25" s="4" customFormat="1" ht="220.5" customHeight="1" x14ac:dyDescent="0.3">
      <c r="A133" s="863"/>
      <c r="B133" s="840"/>
      <c r="C133" s="861"/>
      <c r="D133" s="715"/>
      <c r="E133" s="244" t="s">
        <v>52</v>
      </c>
      <c r="F133" s="240" t="s">
        <v>261</v>
      </c>
      <c r="G133" s="69" t="s">
        <v>31</v>
      </c>
      <c r="H133" s="239">
        <v>9</v>
      </c>
      <c r="I133" s="239">
        <v>10</v>
      </c>
      <c r="J133" s="239">
        <v>10</v>
      </c>
      <c r="K133" s="239">
        <v>10</v>
      </c>
      <c r="L133" s="239">
        <v>10</v>
      </c>
      <c r="M133" s="239">
        <v>10</v>
      </c>
      <c r="N133" s="239">
        <v>10</v>
      </c>
      <c r="O133" s="239">
        <v>11</v>
      </c>
      <c r="P133" s="239">
        <v>11</v>
      </c>
      <c r="Q133" s="239">
        <v>11</v>
      </c>
      <c r="R133" s="239">
        <v>11</v>
      </c>
      <c r="S133" s="239">
        <v>11</v>
      </c>
      <c r="T133" s="239">
        <v>12</v>
      </c>
      <c r="U133" s="774"/>
      <c r="V133" s="792"/>
      <c r="W133" s="792"/>
      <c r="X133" s="792"/>
      <c r="Y133" s="792"/>
    </row>
    <row r="134" spans="1:25" ht="24" x14ac:dyDescent="0.3">
      <c r="A134" s="66" t="s">
        <v>262</v>
      </c>
      <c r="B134" s="927" t="s">
        <v>263</v>
      </c>
      <c r="C134" s="927"/>
      <c r="D134" s="927"/>
      <c r="E134" s="927"/>
      <c r="F134" s="927"/>
      <c r="G134" s="927"/>
      <c r="H134" s="927"/>
      <c r="I134" s="927"/>
      <c r="J134" s="927"/>
      <c r="K134" s="927"/>
      <c r="L134" s="927"/>
      <c r="M134" s="927"/>
      <c r="N134" s="927"/>
      <c r="O134" s="927"/>
      <c r="P134" s="927"/>
      <c r="Q134" s="927"/>
      <c r="R134" s="927"/>
      <c r="S134" s="927"/>
      <c r="T134" s="927"/>
      <c r="U134" s="51"/>
      <c r="V134" s="52"/>
      <c r="W134" s="52"/>
      <c r="X134" s="52"/>
      <c r="Y134" s="52"/>
    </row>
    <row r="135" spans="1:25" s="4" customFormat="1" ht="144" x14ac:dyDescent="0.3">
      <c r="A135" s="241" t="s">
        <v>264</v>
      </c>
      <c r="B135" s="250" t="s">
        <v>265</v>
      </c>
      <c r="C135" s="250" t="s">
        <v>1295</v>
      </c>
      <c r="D135" s="244" t="s">
        <v>28</v>
      </c>
      <c r="E135" s="244" t="s">
        <v>266</v>
      </c>
      <c r="F135" s="74" t="s">
        <v>1430</v>
      </c>
      <c r="G135" s="244"/>
      <c r="H135" s="244"/>
      <c r="I135" s="244" t="s">
        <v>118</v>
      </c>
      <c r="J135" s="244"/>
      <c r="K135" s="244"/>
      <c r="L135" s="244"/>
      <c r="M135" s="244"/>
      <c r="N135" s="244"/>
      <c r="O135" s="244"/>
      <c r="P135" s="244"/>
      <c r="Q135" s="244"/>
      <c r="R135" s="244"/>
      <c r="S135" s="244"/>
      <c r="T135" s="244"/>
      <c r="U135" s="230">
        <v>7187.4</v>
      </c>
      <c r="V135" s="258">
        <v>7187.4</v>
      </c>
      <c r="W135" s="258">
        <v>0</v>
      </c>
      <c r="X135" s="258">
        <v>0</v>
      </c>
      <c r="Y135" s="258">
        <v>0</v>
      </c>
    </row>
    <row r="136" spans="1:25" s="4" customFormat="1" ht="96" x14ac:dyDescent="0.3">
      <c r="A136" s="862" t="s">
        <v>816</v>
      </c>
      <c r="B136" s="804" t="s">
        <v>379</v>
      </c>
      <c r="C136" s="804" t="s">
        <v>1296</v>
      </c>
      <c r="D136" s="728" t="s">
        <v>364</v>
      </c>
      <c r="E136" s="728" t="s">
        <v>91</v>
      </c>
      <c r="F136" s="245" t="s">
        <v>380</v>
      </c>
      <c r="G136" s="257" t="s">
        <v>62</v>
      </c>
      <c r="H136" s="257"/>
      <c r="I136" s="257"/>
      <c r="J136" s="257">
        <v>10</v>
      </c>
      <c r="K136" s="257">
        <v>20</v>
      </c>
      <c r="L136" s="257">
        <v>30</v>
      </c>
      <c r="M136" s="257">
        <v>40</v>
      </c>
      <c r="N136" s="257">
        <v>50</v>
      </c>
      <c r="O136" s="257">
        <v>60</v>
      </c>
      <c r="P136" s="257">
        <v>70</v>
      </c>
      <c r="Q136" s="257">
        <v>80</v>
      </c>
      <c r="R136" s="257">
        <v>90</v>
      </c>
      <c r="S136" s="257">
        <v>95</v>
      </c>
      <c r="T136" s="244">
        <v>100</v>
      </c>
      <c r="U136" s="773">
        <v>60000</v>
      </c>
      <c r="V136" s="791">
        <v>0</v>
      </c>
      <c r="W136" s="791">
        <v>0</v>
      </c>
      <c r="X136" s="791">
        <v>0</v>
      </c>
      <c r="Y136" s="791">
        <v>0</v>
      </c>
    </row>
    <row r="137" spans="1:25" s="4" customFormat="1" ht="120" x14ac:dyDescent="0.3">
      <c r="A137" s="863"/>
      <c r="B137" s="805"/>
      <c r="C137" s="805"/>
      <c r="D137" s="729"/>
      <c r="E137" s="729"/>
      <c r="F137" s="245" t="s">
        <v>880</v>
      </c>
      <c r="G137" s="257" t="s">
        <v>62</v>
      </c>
      <c r="H137" s="257">
        <v>10</v>
      </c>
      <c r="I137" s="257"/>
      <c r="J137" s="257">
        <v>29</v>
      </c>
      <c r="K137" s="257">
        <v>29</v>
      </c>
      <c r="L137" s="257">
        <v>35</v>
      </c>
      <c r="M137" s="257">
        <v>40</v>
      </c>
      <c r="N137" s="257">
        <v>50</v>
      </c>
      <c r="O137" s="257">
        <v>70</v>
      </c>
      <c r="P137" s="257">
        <v>70</v>
      </c>
      <c r="Q137" s="257">
        <v>80</v>
      </c>
      <c r="R137" s="257">
        <v>80</v>
      </c>
      <c r="S137" s="257">
        <v>90</v>
      </c>
      <c r="T137" s="244">
        <v>100</v>
      </c>
      <c r="U137" s="774"/>
      <c r="V137" s="792"/>
      <c r="W137" s="792"/>
      <c r="X137" s="792"/>
      <c r="Y137" s="792"/>
    </row>
    <row r="138" spans="1:25" s="4" customFormat="1" ht="120" x14ac:dyDescent="0.3">
      <c r="A138" s="241" t="s">
        <v>817</v>
      </c>
      <c r="B138" s="242" t="s">
        <v>1031</v>
      </c>
      <c r="C138" s="243" t="s">
        <v>1297</v>
      </c>
      <c r="D138" s="257" t="s">
        <v>364</v>
      </c>
      <c r="E138" s="257" t="s">
        <v>378</v>
      </c>
      <c r="F138" s="245" t="s">
        <v>381</v>
      </c>
      <c r="G138" s="257" t="s">
        <v>62</v>
      </c>
      <c r="H138" s="257"/>
      <c r="I138" s="257"/>
      <c r="J138" s="257"/>
      <c r="K138" s="257"/>
      <c r="L138" s="257">
        <v>50</v>
      </c>
      <c r="M138" s="257">
        <v>75</v>
      </c>
      <c r="N138" s="257">
        <v>100</v>
      </c>
      <c r="O138" s="244"/>
      <c r="P138" s="244"/>
      <c r="Q138" s="244"/>
      <c r="R138" s="244"/>
      <c r="S138" s="244"/>
      <c r="T138" s="244"/>
      <c r="U138" s="230">
        <v>1000</v>
      </c>
      <c r="V138" s="258">
        <v>0</v>
      </c>
      <c r="W138" s="258">
        <v>0</v>
      </c>
      <c r="X138" s="258">
        <v>0</v>
      </c>
      <c r="Y138" s="258">
        <v>0</v>
      </c>
    </row>
    <row r="139" spans="1:25" s="4" customFormat="1" ht="72" x14ac:dyDescent="0.3">
      <c r="A139" s="241" t="s">
        <v>818</v>
      </c>
      <c r="B139" s="242" t="s">
        <v>382</v>
      </c>
      <c r="C139" s="243" t="s">
        <v>383</v>
      </c>
      <c r="D139" s="257" t="s">
        <v>364</v>
      </c>
      <c r="E139" s="257" t="s">
        <v>336</v>
      </c>
      <c r="F139" s="245" t="s">
        <v>384</v>
      </c>
      <c r="G139" s="257" t="s">
        <v>62</v>
      </c>
      <c r="H139" s="257"/>
      <c r="I139" s="257"/>
      <c r="J139" s="257"/>
      <c r="K139" s="257"/>
      <c r="L139" s="257">
        <v>75</v>
      </c>
      <c r="M139" s="257">
        <v>100</v>
      </c>
      <c r="N139" s="244"/>
      <c r="O139" s="244"/>
      <c r="P139" s="244"/>
      <c r="Q139" s="244"/>
      <c r="R139" s="244"/>
      <c r="S139" s="244"/>
      <c r="T139" s="244"/>
      <c r="U139" s="230">
        <v>750</v>
      </c>
      <c r="V139" s="258">
        <v>0</v>
      </c>
      <c r="W139" s="258">
        <v>0</v>
      </c>
      <c r="X139" s="258">
        <v>0</v>
      </c>
      <c r="Y139" s="258">
        <v>0</v>
      </c>
    </row>
    <row r="140" spans="1:25" s="4" customFormat="1" ht="360" x14ac:dyDescent="0.3">
      <c r="A140" s="241" t="s">
        <v>1401</v>
      </c>
      <c r="B140" s="74" t="s">
        <v>1402</v>
      </c>
      <c r="C140" s="74" t="s">
        <v>1403</v>
      </c>
      <c r="D140" s="257" t="s">
        <v>1404</v>
      </c>
      <c r="E140" s="244" t="s">
        <v>91</v>
      </c>
      <c r="F140" s="74" t="s">
        <v>1405</v>
      </c>
      <c r="G140" s="244" t="s">
        <v>62</v>
      </c>
      <c r="H140" s="244">
        <v>3.9</v>
      </c>
      <c r="I140" s="140">
        <v>2</v>
      </c>
      <c r="J140" s="244">
        <v>15.7</v>
      </c>
      <c r="K140" s="244">
        <v>11.8</v>
      </c>
      <c r="L140" s="244">
        <v>9.8000000000000007</v>
      </c>
      <c r="M140" s="244">
        <v>7.8</v>
      </c>
      <c r="N140" s="244">
        <v>5.9</v>
      </c>
      <c r="O140" s="244">
        <v>5.9</v>
      </c>
      <c r="P140" s="244">
        <v>3.9</v>
      </c>
      <c r="Q140" s="244">
        <v>3.9</v>
      </c>
      <c r="R140" s="244">
        <v>0</v>
      </c>
      <c r="S140" s="244">
        <v>0</v>
      </c>
      <c r="T140" s="244">
        <v>5.9</v>
      </c>
      <c r="U140" s="230">
        <v>2821.2000000000003</v>
      </c>
      <c r="V140" s="258">
        <v>2821.2000000000003</v>
      </c>
      <c r="W140" s="258">
        <v>0</v>
      </c>
      <c r="X140" s="258">
        <v>0</v>
      </c>
      <c r="Y140" s="258">
        <v>0</v>
      </c>
    </row>
    <row r="141" spans="1:25" ht="24" x14ac:dyDescent="0.3">
      <c r="A141" s="67" t="s">
        <v>267</v>
      </c>
      <c r="B141" s="946" t="s">
        <v>268</v>
      </c>
      <c r="C141" s="946"/>
      <c r="D141" s="946"/>
      <c r="E141" s="946"/>
      <c r="F141" s="946"/>
      <c r="G141" s="946"/>
      <c r="H141" s="946"/>
      <c r="I141" s="946"/>
      <c r="J141" s="946"/>
      <c r="K141" s="946"/>
      <c r="L141" s="946"/>
      <c r="M141" s="946"/>
      <c r="N141" s="946"/>
      <c r="O141" s="946"/>
      <c r="P141" s="946"/>
      <c r="Q141" s="946"/>
      <c r="R141" s="946"/>
      <c r="S141" s="946"/>
      <c r="T141" s="946"/>
      <c r="U141" s="56"/>
      <c r="V141" s="57"/>
      <c r="W141" s="57"/>
      <c r="X141" s="57"/>
      <c r="Y141" s="57"/>
    </row>
    <row r="142" spans="1:25" ht="24" x14ac:dyDescent="0.3">
      <c r="A142" s="66" t="s">
        <v>269</v>
      </c>
      <c r="B142" s="927" t="s">
        <v>270</v>
      </c>
      <c r="C142" s="927"/>
      <c r="D142" s="927"/>
      <c r="E142" s="927"/>
      <c r="F142" s="927"/>
      <c r="G142" s="927"/>
      <c r="H142" s="927"/>
      <c r="I142" s="927"/>
      <c r="J142" s="927"/>
      <c r="K142" s="927"/>
      <c r="L142" s="927"/>
      <c r="M142" s="927"/>
      <c r="N142" s="927"/>
      <c r="O142" s="927"/>
      <c r="P142" s="927"/>
      <c r="Q142" s="927"/>
      <c r="R142" s="927"/>
      <c r="S142" s="927"/>
      <c r="T142" s="927"/>
      <c r="U142" s="51"/>
      <c r="V142" s="52"/>
      <c r="W142" s="52"/>
      <c r="X142" s="52"/>
      <c r="Y142" s="52"/>
    </row>
    <row r="143" spans="1:25" s="4" customFormat="1" ht="144" x14ac:dyDescent="0.3">
      <c r="A143" s="241" t="s">
        <v>271</v>
      </c>
      <c r="B143" s="243" t="s">
        <v>272</v>
      </c>
      <c r="C143" s="243" t="s">
        <v>1298</v>
      </c>
      <c r="D143" s="257" t="s">
        <v>122</v>
      </c>
      <c r="E143" s="244" t="s">
        <v>273</v>
      </c>
      <c r="F143" s="245" t="s">
        <v>274</v>
      </c>
      <c r="G143" s="257" t="s">
        <v>74</v>
      </c>
      <c r="H143" s="244"/>
      <c r="I143" s="244">
        <v>1</v>
      </c>
      <c r="J143" s="244"/>
      <c r="K143" s="244"/>
      <c r="L143" s="244"/>
      <c r="M143" s="244"/>
      <c r="N143" s="244"/>
      <c r="O143" s="244"/>
      <c r="P143" s="244"/>
      <c r="Q143" s="244"/>
      <c r="R143" s="244"/>
      <c r="S143" s="244"/>
      <c r="T143" s="244"/>
      <c r="U143" s="230">
        <v>225</v>
      </c>
      <c r="V143" s="258">
        <v>0</v>
      </c>
      <c r="W143" s="258">
        <v>0</v>
      </c>
      <c r="X143" s="258">
        <v>225</v>
      </c>
      <c r="Y143" s="258">
        <v>0</v>
      </c>
    </row>
    <row r="144" spans="1:25" s="4" customFormat="1" ht="409.5" x14ac:dyDescent="0.3">
      <c r="A144" s="241" t="s">
        <v>275</v>
      </c>
      <c r="B144" s="242" t="s">
        <v>276</v>
      </c>
      <c r="C144" s="243" t="s">
        <v>277</v>
      </c>
      <c r="D144" s="257" t="s">
        <v>278</v>
      </c>
      <c r="E144" s="244" t="s">
        <v>52</v>
      </c>
      <c r="F144" s="245" t="s">
        <v>279</v>
      </c>
      <c r="G144" s="257" t="s">
        <v>74</v>
      </c>
      <c r="H144" s="257">
        <v>58</v>
      </c>
      <c r="I144" s="257">
        <v>63</v>
      </c>
      <c r="J144" s="257">
        <v>63</v>
      </c>
      <c r="K144" s="257">
        <v>63</v>
      </c>
      <c r="L144" s="257">
        <v>63</v>
      </c>
      <c r="M144" s="257">
        <v>63</v>
      </c>
      <c r="N144" s="257">
        <v>63</v>
      </c>
      <c r="O144" s="257">
        <v>63</v>
      </c>
      <c r="P144" s="257">
        <v>63</v>
      </c>
      <c r="Q144" s="257">
        <v>63</v>
      </c>
      <c r="R144" s="257">
        <v>63</v>
      </c>
      <c r="S144" s="257">
        <v>63</v>
      </c>
      <c r="T144" s="257">
        <v>63</v>
      </c>
      <c r="U144" s="230">
        <v>144014.39999999999</v>
      </c>
      <c r="V144" s="258">
        <v>144014.39999999999</v>
      </c>
      <c r="W144" s="258">
        <v>0</v>
      </c>
      <c r="X144" s="258">
        <v>0</v>
      </c>
      <c r="Y144" s="258">
        <v>0</v>
      </c>
    </row>
    <row r="145" spans="1:25" ht="24" x14ac:dyDescent="0.3">
      <c r="A145" s="66" t="s">
        <v>280</v>
      </c>
      <c r="B145" s="927" t="s">
        <v>281</v>
      </c>
      <c r="C145" s="927"/>
      <c r="D145" s="927"/>
      <c r="E145" s="927"/>
      <c r="F145" s="927"/>
      <c r="G145" s="927"/>
      <c r="H145" s="927"/>
      <c r="I145" s="927"/>
      <c r="J145" s="927"/>
      <c r="K145" s="927"/>
      <c r="L145" s="927"/>
      <c r="M145" s="927"/>
      <c r="N145" s="927"/>
      <c r="O145" s="927"/>
      <c r="P145" s="927"/>
      <c r="Q145" s="927"/>
      <c r="R145" s="927"/>
      <c r="S145" s="927"/>
      <c r="T145" s="927"/>
      <c r="U145" s="51"/>
      <c r="V145" s="52"/>
      <c r="W145" s="52"/>
      <c r="X145" s="52"/>
      <c r="Y145" s="52"/>
    </row>
    <row r="146" spans="1:25" s="4" customFormat="1" ht="196.5" customHeight="1" x14ac:dyDescent="0.3">
      <c r="A146" s="862" t="s">
        <v>282</v>
      </c>
      <c r="B146" s="864" t="s">
        <v>283</v>
      </c>
      <c r="C146" s="866" t="s">
        <v>1299</v>
      </c>
      <c r="D146" s="728" t="s">
        <v>284</v>
      </c>
      <c r="E146" s="244" t="s">
        <v>52</v>
      </c>
      <c r="F146" s="245" t="s">
        <v>285</v>
      </c>
      <c r="G146" s="257" t="s">
        <v>286</v>
      </c>
      <c r="H146" s="257">
        <v>728</v>
      </c>
      <c r="I146" s="257">
        <v>450</v>
      </c>
      <c r="J146" s="257">
        <v>450</v>
      </c>
      <c r="K146" s="257">
        <v>1110</v>
      </c>
      <c r="L146" s="257">
        <v>1110</v>
      </c>
      <c r="M146" s="257">
        <v>1110</v>
      </c>
      <c r="N146" s="257">
        <v>1110</v>
      </c>
      <c r="O146" s="257">
        <v>1110</v>
      </c>
      <c r="P146" s="257"/>
      <c r="Q146" s="257"/>
      <c r="R146" s="257"/>
      <c r="S146" s="257"/>
      <c r="T146" s="257"/>
      <c r="U146" s="773">
        <v>10759900</v>
      </c>
      <c r="V146" s="791">
        <v>7500</v>
      </c>
      <c r="W146" s="791">
        <v>226400</v>
      </c>
      <c r="X146" s="791">
        <v>0</v>
      </c>
      <c r="Y146" s="791">
        <v>1660000</v>
      </c>
    </row>
    <row r="147" spans="1:25" s="4" customFormat="1" ht="184.5" customHeight="1" x14ac:dyDescent="0.3">
      <c r="A147" s="863"/>
      <c r="B147" s="865"/>
      <c r="C147" s="865"/>
      <c r="D147" s="892"/>
      <c r="E147" s="244" t="s">
        <v>52</v>
      </c>
      <c r="F147" s="74" t="s">
        <v>287</v>
      </c>
      <c r="G147" s="244" t="s">
        <v>288</v>
      </c>
      <c r="H147" s="224">
        <v>372</v>
      </c>
      <c r="I147" s="224">
        <v>250</v>
      </c>
      <c r="J147" s="224">
        <v>250</v>
      </c>
      <c r="K147" s="224">
        <v>250</v>
      </c>
      <c r="L147" s="224">
        <v>500</v>
      </c>
      <c r="M147" s="224">
        <v>500</v>
      </c>
      <c r="N147" s="224">
        <v>500</v>
      </c>
      <c r="O147" s="224">
        <v>500</v>
      </c>
      <c r="P147" s="224"/>
      <c r="Q147" s="224"/>
      <c r="R147" s="224"/>
      <c r="S147" s="224"/>
      <c r="T147" s="224"/>
      <c r="U147" s="774"/>
      <c r="V147" s="792"/>
      <c r="W147" s="792"/>
      <c r="X147" s="792"/>
      <c r="Y147" s="792"/>
    </row>
    <row r="148" spans="1:25" ht="24" x14ac:dyDescent="0.3">
      <c r="A148" s="66" t="s">
        <v>289</v>
      </c>
      <c r="B148" s="927" t="s">
        <v>290</v>
      </c>
      <c r="C148" s="927"/>
      <c r="D148" s="927"/>
      <c r="E148" s="927"/>
      <c r="F148" s="927"/>
      <c r="G148" s="927"/>
      <c r="H148" s="927"/>
      <c r="I148" s="927"/>
      <c r="J148" s="927"/>
      <c r="K148" s="927"/>
      <c r="L148" s="927"/>
      <c r="M148" s="927"/>
      <c r="N148" s="927"/>
      <c r="O148" s="927"/>
      <c r="P148" s="927"/>
      <c r="Q148" s="927"/>
      <c r="R148" s="927"/>
      <c r="S148" s="927"/>
      <c r="T148" s="927"/>
      <c r="U148" s="51"/>
      <c r="V148" s="52"/>
      <c r="W148" s="52"/>
      <c r="X148" s="52"/>
      <c r="Y148" s="52"/>
    </row>
    <row r="149" spans="1:25" s="4" customFormat="1" ht="126" customHeight="1" x14ac:dyDescent="0.3">
      <c r="A149" s="241" t="s">
        <v>291</v>
      </c>
      <c r="B149" s="243" t="s">
        <v>292</v>
      </c>
      <c r="C149" s="243" t="s">
        <v>1300</v>
      </c>
      <c r="D149" s="257" t="s">
        <v>122</v>
      </c>
      <c r="E149" s="244" t="s">
        <v>52</v>
      </c>
      <c r="F149" s="245" t="s">
        <v>293</v>
      </c>
      <c r="G149" s="257" t="s">
        <v>74</v>
      </c>
      <c r="H149" s="244"/>
      <c r="I149" s="76">
        <v>11579</v>
      </c>
      <c r="J149" s="76"/>
      <c r="K149" s="76"/>
      <c r="L149" s="76"/>
      <c r="M149" s="76"/>
      <c r="N149" s="76"/>
      <c r="O149" s="76"/>
      <c r="P149" s="76"/>
      <c r="Q149" s="76"/>
      <c r="R149" s="76"/>
      <c r="S149" s="76"/>
      <c r="T149" s="76"/>
      <c r="U149" s="230">
        <v>0</v>
      </c>
      <c r="V149" s="258">
        <v>0</v>
      </c>
      <c r="W149" s="258">
        <v>0</v>
      </c>
      <c r="X149" s="258">
        <v>0</v>
      </c>
      <c r="Y149" s="258">
        <v>0</v>
      </c>
    </row>
    <row r="150" spans="1:25" s="4" customFormat="1" ht="192" x14ac:dyDescent="0.3">
      <c r="A150" s="241" t="s">
        <v>294</v>
      </c>
      <c r="B150" s="243" t="s">
        <v>1032</v>
      </c>
      <c r="C150" s="243" t="s">
        <v>1301</v>
      </c>
      <c r="D150" s="244" t="s">
        <v>295</v>
      </c>
      <c r="E150" s="244" t="s">
        <v>273</v>
      </c>
      <c r="F150" s="245" t="s">
        <v>296</v>
      </c>
      <c r="G150" s="257" t="s">
        <v>117</v>
      </c>
      <c r="H150" s="244"/>
      <c r="I150" s="257" t="s">
        <v>118</v>
      </c>
      <c r="J150" s="257" t="s">
        <v>118</v>
      </c>
      <c r="K150" s="257"/>
      <c r="L150" s="257"/>
      <c r="M150" s="257"/>
      <c r="N150" s="257"/>
      <c r="O150" s="257"/>
      <c r="P150" s="257"/>
      <c r="Q150" s="257"/>
      <c r="R150" s="257"/>
      <c r="S150" s="257"/>
      <c r="T150" s="257"/>
      <c r="U150" s="230">
        <v>0</v>
      </c>
      <c r="V150" s="258">
        <v>0</v>
      </c>
      <c r="W150" s="258">
        <v>0</v>
      </c>
      <c r="X150" s="258">
        <v>0</v>
      </c>
      <c r="Y150" s="258">
        <v>0</v>
      </c>
    </row>
    <row r="151" spans="1:25" s="4" customFormat="1" ht="120" x14ac:dyDescent="0.3">
      <c r="A151" s="241" t="s">
        <v>297</v>
      </c>
      <c r="B151" s="243" t="s">
        <v>298</v>
      </c>
      <c r="C151" s="243" t="s">
        <v>1302</v>
      </c>
      <c r="D151" s="244" t="s">
        <v>295</v>
      </c>
      <c r="E151" s="257" t="s">
        <v>52</v>
      </c>
      <c r="F151" s="245" t="s">
        <v>299</v>
      </c>
      <c r="G151" s="257" t="s">
        <v>117</v>
      </c>
      <c r="H151" s="244"/>
      <c r="I151" s="257" t="s">
        <v>118</v>
      </c>
      <c r="J151" s="257" t="s">
        <v>118</v>
      </c>
      <c r="K151" s="257" t="s">
        <v>118</v>
      </c>
      <c r="L151" s="257" t="s">
        <v>118</v>
      </c>
      <c r="M151" s="257" t="s">
        <v>118</v>
      </c>
      <c r="N151" s="257" t="s">
        <v>118</v>
      </c>
      <c r="O151" s="257" t="s">
        <v>118</v>
      </c>
      <c r="P151" s="257" t="s">
        <v>118</v>
      </c>
      <c r="Q151" s="257" t="s">
        <v>118</v>
      </c>
      <c r="R151" s="257" t="s">
        <v>118</v>
      </c>
      <c r="S151" s="257" t="s">
        <v>118</v>
      </c>
      <c r="T151" s="257" t="s">
        <v>118</v>
      </c>
      <c r="U151" s="230">
        <v>0</v>
      </c>
      <c r="V151" s="258">
        <v>0</v>
      </c>
      <c r="W151" s="258">
        <v>0</v>
      </c>
      <c r="X151" s="258">
        <v>0</v>
      </c>
      <c r="Y151" s="258">
        <v>0</v>
      </c>
    </row>
    <row r="152" spans="1:25" s="4" customFormat="1" ht="144" x14ac:dyDescent="0.3">
      <c r="A152" s="241" t="s">
        <v>300</v>
      </c>
      <c r="B152" s="243" t="s">
        <v>301</v>
      </c>
      <c r="C152" s="243" t="s">
        <v>1303</v>
      </c>
      <c r="D152" s="244" t="s">
        <v>295</v>
      </c>
      <c r="E152" s="244">
        <v>2019</v>
      </c>
      <c r="F152" s="245" t="s">
        <v>302</v>
      </c>
      <c r="G152" s="257" t="s">
        <v>117</v>
      </c>
      <c r="H152" s="244"/>
      <c r="I152" s="257" t="s">
        <v>118</v>
      </c>
      <c r="J152" s="257"/>
      <c r="K152" s="257"/>
      <c r="L152" s="257"/>
      <c r="M152" s="257"/>
      <c r="N152" s="257"/>
      <c r="O152" s="257"/>
      <c r="P152" s="257"/>
      <c r="Q152" s="257"/>
      <c r="R152" s="257"/>
      <c r="S152" s="257"/>
      <c r="T152" s="257"/>
      <c r="U152" s="230">
        <v>0</v>
      </c>
      <c r="V152" s="258">
        <v>0</v>
      </c>
      <c r="W152" s="258">
        <v>0</v>
      </c>
      <c r="X152" s="258">
        <v>0</v>
      </c>
      <c r="Y152" s="258">
        <v>0</v>
      </c>
    </row>
    <row r="153" spans="1:25" ht="24" x14ac:dyDescent="0.3">
      <c r="A153" s="66" t="s">
        <v>303</v>
      </c>
      <c r="B153" s="927" t="s">
        <v>304</v>
      </c>
      <c r="C153" s="927"/>
      <c r="D153" s="927"/>
      <c r="E153" s="927"/>
      <c r="F153" s="927"/>
      <c r="G153" s="927"/>
      <c r="H153" s="927"/>
      <c r="I153" s="927"/>
      <c r="J153" s="927"/>
      <c r="K153" s="927"/>
      <c r="L153" s="927"/>
      <c r="M153" s="927"/>
      <c r="N153" s="927"/>
      <c r="O153" s="927"/>
      <c r="P153" s="927"/>
      <c r="Q153" s="927"/>
      <c r="R153" s="927"/>
      <c r="S153" s="927"/>
      <c r="T153" s="927"/>
      <c r="U153" s="51"/>
      <c r="V153" s="52"/>
      <c r="W153" s="52"/>
      <c r="X153" s="52"/>
      <c r="Y153" s="52"/>
    </row>
    <row r="154" spans="1:25" s="4" customFormat="1" ht="144" x14ac:dyDescent="0.3">
      <c r="A154" s="246" t="s">
        <v>305</v>
      </c>
      <c r="B154" s="233" t="s">
        <v>306</v>
      </c>
      <c r="C154" s="233" t="s">
        <v>1304</v>
      </c>
      <c r="D154" s="217" t="s">
        <v>122</v>
      </c>
      <c r="E154" s="236" t="s">
        <v>52</v>
      </c>
      <c r="F154" s="245" t="s">
        <v>307</v>
      </c>
      <c r="G154" s="257" t="s">
        <v>62</v>
      </c>
      <c r="H154" s="244"/>
      <c r="I154" s="228">
        <v>72</v>
      </c>
      <c r="J154" s="228">
        <v>72</v>
      </c>
      <c r="K154" s="228">
        <v>72</v>
      </c>
      <c r="L154" s="228">
        <v>72</v>
      </c>
      <c r="M154" s="228">
        <v>72</v>
      </c>
      <c r="N154" s="228">
        <v>72</v>
      </c>
      <c r="O154" s="228">
        <v>72</v>
      </c>
      <c r="P154" s="228">
        <v>72</v>
      </c>
      <c r="Q154" s="228">
        <v>72</v>
      </c>
      <c r="R154" s="228">
        <v>72</v>
      </c>
      <c r="S154" s="228">
        <v>72</v>
      </c>
      <c r="T154" s="228">
        <v>72</v>
      </c>
      <c r="U154" s="230">
        <v>0</v>
      </c>
      <c r="V154" s="258">
        <v>0</v>
      </c>
      <c r="W154" s="258">
        <v>0</v>
      </c>
      <c r="X154" s="258">
        <v>0</v>
      </c>
      <c r="Y154" s="258">
        <v>0</v>
      </c>
    </row>
    <row r="155" spans="1:25" s="4" customFormat="1" ht="168" x14ac:dyDescent="0.3">
      <c r="A155" s="246" t="s">
        <v>1253</v>
      </c>
      <c r="B155" s="243" t="s">
        <v>309</v>
      </c>
      <c r="C155" s="243" t="s">
        <v>1306</v>
      </c>
      <c r="D155" s="257" t="s">
        <v>122</v>
      </c>
      <c r="E155" s="244">
        <v>2019</v>
      </c>
      <c r="F155" s="245" t="s">
        <v>310</v>
      </c>
      <c r="G155" s="257" t="s">
        <v>74</v>
      </c>
      <c r="H155" s="244"/>
      <c r="I155" s="244">
        <v>7</v>
      </c>
      <c r="J155" s="244"/>
      <c r="K155" s="244"/>
      <c r="L155" s="244"/>
      <c r="M155" s="244"/>
      <c r="N155" s="244"/>
      <c r="O155" s="244"/>
      <c r="P155" s="244"/>
      <c r="Q155" s="244"/>
      <c r="R155" s="244"/>
      <c r="S155" s="244"/>
      <c r="T155" s="244"/>
      <c r="U155" s="230">
        <v>511.3</v>
      </c>
      <c r="V155" s="258">
        <v>0</v>
      </c>
      <c r="W155" s="258">
        <v>511.3</v>
      </c>
      <c r="X155" s="258">
        <v>0</v>
      </c>
      <c r="Y155" s="258">
        <v>0</v>
      </c>
    </row>
    <row r="156" spans="1:25" s="4" customFormat="1" ht="144" x14ac:dyDescent="0.3">
      <c r="A156" s="246" t="s">
        <v>1096</v>
      </c>
      <c r="B156" s="74" t="s">
        <v>1406</v>
      </c>
      <c r="C156" s="74" t="s">
        <v>1407</v>
      </c>
      <c r="D156" s="257" t="s">
        <v>1404</v>
      </c>
      <c r="E156" s="244" t="s">
        <v>91</v>
      </c>
      <c r="F156" s="74" t="s">
        <v>1418</v>
      </c>
      <c r="G156" s="257" t="s">
        <v>74</v>
      </c>
      <c r="H156" s="244"/>
      <c r="I156" s="76">
        <v>2</v>
      </c>
      <c r="J156" s="244">
        <v>3</v>
      </c>
      <c r="K156" s="244">
        <v>3</v>
      </c>
      <c r="L156" s="244">
        <v>3</v>
      </c>
      <c r="M156" s="244">
        <v>3</v>
      </c>
      <c r="N156" s="244">
        <v>3</v>
      </c>
      <c r="O156" s="244">
        <v>3</v>
      </c>
      <c r="P156" s="244">
        <v>3</v>
      </c>
      <c r="Q156" s="244">
        <v>3</v>
      </c>
      <c r="R156" s="244">
        <v>3</v>
      </c>
      <c r="S156" s="244">
        <v>3</v>
      </c>
      <c r="T156" s="244">
        <v>3</v>
      </c>
      <c r="U156" s="230">
        <v>0</v>
      </c>
      <c r="V156" s="258">
        <v>0</v>
      </c>
      <c r="W156" s="258">
        <v>0</v>
      </c>
      <c r="X156" s="258">
        <v>0</v>
      </c>
      <c r="Y156" s="258">
        <v>0</v>
      </c>
    </row>
    <row r="157" spans="1:25" s="4" customFormat="1" ht="168" x14ac:dyDescent="0.3">
      <c r="A157" s="246" t="s">
        <v>815</v>
      </c>
      <c r="B157" s="74" t="s">
        <v>1420</v>
      </c>
      <c r="C157" s="74" t="s">
        <v>1421</v>
      </c>
      <c r="D157" s="244" t="s">
        <v>1422</v>
      </c>
      <c r="E157" s="244" t="s">
        <v>628</v>
      </c>
      <c r="F157" s="74" t="s">
        <v>1423</v>
      </c>
      <c r="G157" s="244" t="s">
        <v>1424</v>
      </c>
      <c r="H157" s="244"/>
      <c r="I157" s="244"/>
      <c r="J157" s="244"/>
      <c r="K157" s="244"/>
      <c r="L157" s="244"/>
      <c r="M157" s="244">
        <v>1</v>
      </c>
      <c r="N157" s="244">
        <v>1</v>
      </c>
      <c r="O157" s="244">
        <v>1</v>
      </c>
      <c r="P157" s="244">
        <v>1</v>
      </c>
      <c r="Q157" s="244">
        <v>1</v>
      </c>
      <c r="R157" s="244">
        <v>1</v>
      </c>
      <c r="S157" s="244">
        <v>1</v>
      </c>
      <c r="T157" s="244">
        <v>1</v>
      </c>
      <c r="U157" s="230">
        <v>0</v>
      </c>
      <c r="V157" s="258">
        <v>0</v>
      </c>
      <c r="W157" s="258">
        <v>0</v>
      </c>
      <c r="X157" s="258">
        <v>0</v>
      </c>
      <c r="Y157" s="258">
        <v>0</v>
      </c>
    </row>
    <row r="158" spans="1:25" s="4" customFormat="1" ht="168" x14ac:dyDescent="0.3">
      <c r="A158" s="246" t="s">
        <v>960</v>
      </c>
      <c r="B158" s="243" t="s">
        <v>320</v>
      </c>
      <c r="C158" s="243" t="s">
        <v>1305</v>
      </c>
      <c r="D158" s="257" t="s">
        <v>321</v>
      </c>
      <c r="E158" s="257" t="s">
        <v>322</v>
      </c>
      <c r="F158" s="245" t="s">
        <v>1014</v>
      </c>
      <c r="G158" s="257" t="s">
        <v>62</v>
      </c>
      <c r="H158" s="244"/>
      <c r="I158" s="244"/>
      <c r="J158" s="244">
        <v>10</v>
      </c>
      <c r="K158" s="244">
        <v>10</v>
      </c>
      <c r="L158" s="244">
        <v>50</v>
      </c>
      <c r="M158" s="244">
        <v>50</v>
      </c>
      <c r="N158" s="244">
        <v>50</v>
      </c>
      <c r="O158" s="244">
        <v>100</v>
      </c>
      <c r="P158" s="244"/>
      <c r="Q158" s="244"/>
      <c r="R158" s="244"/>
      <c r="S158" s="244"/>
      <c r="T158" s="244"/>
      <c r="U158" s="230">
        <v>0</v>
      </c>
      <c r="V158" s="258">
        <v>0</v>
      </c>
      <c r="W158" s="258">
        <v>0</v>
      </c>
      <c r="X158" s="258">
        <v>0</v>
      </c>
      <c r="Y158" s="258">
        <v>0</v>
      </c>
    </row>
    <row r="159" spans="1:25" s="4" customFormat="1" ht="336" x14ac:dyDescent="0.3">
      <c r="A159" s="246" t="s">
        <v>1408</v>
      </c>
      <c r="B159" s="243" t="s">
        <v>961</v>
      </c>
      <c r="C159" s="243" t="s">
        <v>1307</v>
      </c>
      <c r="D159" s="257" t="s">
        <v>962</v>
      </c>
      <c r="E159" s="244" t="s">
        <v>52</v>
      </c>
      <c r="F159" s="245" t="s">
        <v>308</v>
      </c>
      <c r="G159" s="257" t="s">
        <v>74</v>
      </c>
      <c r="H159" s="244">
        <v>338</v>
      </c>
      <c r="I159" s="76">
        <v>253</v>
      </c>
      <c r="J159" s="244">
        <v>253</v>
      </c>
      <c r="K159" s="244">
        <v>253</v>
      </c>
      <c r="L159" s="244">
        <v>253</v>
      </c>
      <c r="M159" s="244">
        <v>253</v>
      </c>
      <c r="N159" s="244">
        <v>253</v>
      </c>
      <c r="O159" s="244">
        <v>253</v>
      </c>
      <c r="P159" s="244">
        <v>253</v>
      </c>
      <c r="Q159" s="244">
        <v>253</v>
      </c>
      <c r="R159" s="244">
        <v>253</v>
      </c>
      <c r="S159" s="244">
        <v>253</v>
      </c>
      <c r="T159" s="244">
        <v>253</v>
      </c>
      <c r="U159" s="230">
        <v>96615.999999999985</v>
      </c>
      <c r="V159" s="258">
        <v>95038.799999999988</v>
      </c>
      <c r="W159" s="258">
        <v>2365.8000000000002</v>
      </c>
      <c r="X159" s="258">
        <v>0</v>
      </c>
      <c r="Y159" s="258">
        <v>0</v>
      </c>
    </row>
    <row r="160" spans="1:25" s="4" customFormat="1" ht="144" x14ac:dyDescent="0.3">
      <c r="A160" s="246" t="s">
        <v>1419</v>
      </c>
      <c r="B160" s="243" t="s">
        <v>963</v>
      </c>
      <c r="C160" s="243" t="s">
        <v>1308</v>
      </c>
      <c r="D160" s="257" t="s">
        <v>122</v>
      </c>
      <c r="E160" s="244" t="s">
        <v>124</v>
      </c>
      <c r="F160" s="245" t="s">
        <v>964</v>
      </c>
      <c r="G160" s="257" t="s">
        <v>74</v>
      </c>
      <c r="H160" s="244"/>
      <c r="I160" s="76">
        <v>35</v>
      </c>
      <c r="J160" s="76">
        <v>35</v>
      </c>
      <c r="K160" s="76">
        <v>35</v>
      </c>
      <c r="L160" s="76">
        <v>35</v>
      </c>
      <c r="M160" s="76">
        <v>35</v>
      </c>
      <c r="N160" s="76">
        <v>35</v>
      </c>
      <c r="O160" s="244"/>
      <c r="P160" s="244"/>
      <c r="Q160" s="244"/>
      <c r="R160" s="244"/>
      <c r="S160" s="244"/>
      <c r="T160" s="244"/>
      <c r="U160" s="230">
        <v>0</v>
      </c>
      <c r="V160" s="258">
        <v>0</v>
      </c>
      <c r="W160" s="258">
        <v>0</v>
      </c>
      <c r="X160" s="258">
        <v>0</v>
      </c>
      <c r="Y160" s="258">
        <v>0</v>
      </c>
    </row>
    <row r="161" spans="1:25" ht="24" x14ac:dyDescent="0.3">
      <c r="A161" s="66" t="s">
        <v>311</v>
      </c>
      <c r="B161" s="927" t="s">
        <v>312</v>
      </c>
      <c r="C161" s="927"/>
      <c r="D161" s="927"/>
      <c r="E161" s="927"/>
      <c r="F161" s="927"/>
      <c r="G161" s="927"/>
      <c r="H161" s="927"/>
      <c r="I161" s="927"/>
      <c r="J161" s="927"/>
      <c r="K161" s="927"/>
      <c r="L161" s="927"/>
      <c r="M161" s="927"/>
      <c r="N161" s="927"/>
      <c r="O161" s="927"/>
      <c r="P161" s="927"/>
      <c r="Q161" s="927"/>
      <c r="R161" s="927"/>
      <c r="S161" s="927"/>
      <c r="T161" s="927"/>
      <c r="U161" s="51"/>
      <c r="V161" s="52"/>
      <c r="W161" s="52"/>
      <c r="X161" s="52"/>
      <c r="Y161" s="52"/>
    </row>
    <row r="162" spans="1:25" s="4" customFormat="1" ht="96" x14ac:dyDescent="0.3">
      <c r="A162" s="796" t="s">
        <v>313</v>
      </c>
      <c r="B162" s="859" t="s">
        <v>314</v>
      </c>
      <c r="C162" s="859" t="s">
        <v>1200</v>
      </c>
      <c r="D162" s="728" t="s">
        <v>28</v>
      </c>
      <c r="E162" s="728" t="s">
        <v>315</v>
      </c>
      <c r="F162" s="245" t="s">
        <v>316</v>
      </c>
      <c r="G162" s="257" t="s">
        <v>62</v>
      </c>
      <c r="H162" s="244"/>
      <c r="I162" s="244"/>
      <c r="J162" s="244"/>
      <c r="K162" s="244"/>
      <c r="L162" s="244"/>
      <c r="M162" s="244"/>
      <c r="N162" s="244">
        <v>2</v>
      </c>
      <c r="O162" s="244">
        <v>20</v>
      </c>
      <c r="P162" s="244">
        <v>48</v>
      </c>
      <c r="Q162" s="244">
        <v>100</v>
      </c>
      <c r="R162" s="244"/>
      <c r="S162" s="244"/>
      <c r="T162" s="244"/>
      <c r="U162" s="773">
        <v>1200000</v>
      </c>
      <c r="V162" s="791">
        <v>0</v>
      </c>
      <c r="W162" s="791">
        <v>1200000</v>
      </c>
      <c r="X162" s="791">
        <v>0</v>
      </c>
      <c r="Y162" s="791">
        <v>0</v>
      </c>
    </row>
    <row r="163" spans="1:25" s="4" customFormat="1" ht="96" x14ac:dyDescent="0.3">
      <c r="A163" s="851"/>
      <c r="B163" s="860"/>
      <c r="C163" s="860"/>
      <c r="D163" s="734"/>
      <c r="E163" s="734"/>
      <c r="F163" s="245" t="s">
        <v>1003</v>
      </c>
      <c r="G163" s="257" t="s">
        <v>62</v>
      </c>
      <c r="H163" s="257">
        <v>97.4</v>
      </c>
      <c r="I163" s="257">
        <v>100</v>
      </c>
      <c r="J163" s="257">
        <v>100</v>
      </c>
      <c r="K163" s="257">
        <v>100</v>
      </c>
      <c r="L163" s="257">
        <v>100</v>
      </c>
      <c r="M163" s="257">
        <v>100</v>
      </c>
      <c r="N163" s="257">
        <v>100</v>
      </c>
      <c r="O163" s="257">
        <v>100</v>
      </c>
      <c r="P163" s="257">
        <v>100</v>
      </c>
      <c r="Q163" s="257">
        <v>100</v>
      </c>
      <c r="R163" s="257">
        <v>100</v>
      </c>
      <c r="S163" s="257">
        <v>100</v>
      </c>
      <c r="T163" s="257">
        <v>100</v>
      </c>
      <c r="U163" s="799"/>
      <c r="V163" s="795"/>
      <c r="W163" s="795"/>
      <c r="X163" s="795"/>
      <c r="Y163" s="795"/>
    </row>
    <row r="164" spans="1:25" s="4" customFormat="1" ht="72" x14ac:dyDescent="0.3">
      <c r="A164" s="797"/>
      <c r="B164" s="861"/>
      <c r="C164" s="861"/>
      <c r="D164" s="729"/>
      <c r="E164" s="729"/>
      <c r="F164" s="245" t="s">
        <v>1004</v>
      </c>
      <c r="G164" s="257" t="s">
        <v>62</v>
      </c>
      <c r="H164" s="257">
        <v>98.9</v>
      </c>
      <c r="I164" s="257">
        <v>99</v>
      </c>
      <c r="J164" s="257">
        <v>99</v>
      </c>
      <c r="K164" s="257">
        <v>99</v>
      </c>
      <c r="L164" s="257">
        <v>99.1</v>
      </c>
      <c r="M164" s="257">
        <v>99.1</v>
      </c>
      <c r="N164" s="257">
        <v>99.1</v>
      </c>
      <c r="O164" s="257">
        <v>99.2</v>
      </c>
      <c r="P164" s="257">
        <v>99.3</v>
      </c>
      <c r="Q164" s="257">
        <v>99.3</v>
      </c>
      <c r="R164" s="257">
        <v>99.4</v>
      </c>
      <c r="S164" s="257">
        <v>99.4</v>
      </c>
      <c r="T164" s="257">
        <v>99.5</v>
      </c>
      <c r="U164" s="774"/>
      <c r="V164" s="792"/>
      <c r="W164" s="792"/>
      <c r="X164" s="792"/>
      <c r="Y164" s="792"/>
    </row>
    <row r="165" spans="1:25" s="4" customFormat="1" ht="168" x14ac:dyDescent="0.3">
      <c r="A165" s="47" t="s">
        <v>317</v>
      </c>
      <c r="B165" s="243" t="s">
        <v>318</v>
      </c>
      <c r="C165" s="243" t="s">
        <v>1309</v>
      </c>
      <c r="D165" s="257" t="s">
        <v>319</v>
      </c>
      <c r="E165" s="257">
        <v>2024</v>
      </c>
      <c r="F165" s="245" t="s">
        <v>1005</v>
      </c>
      <c r="G165" s="257" t="s">
        <v>62</v>
      </c>
      <c r="H165" s="244"/>
      <c r="I165" s="244"/>
      <c r="J165" s="244"/>
      <c r="K165" s="244"/>
      <c r="L165" s="244"/>
      <c r="M165" s="244"/>
      <c r="N165" s="244">
        <v>100</v>
      </c>
      <c r="O165" s="244"/>
      <c r="P165" s="244"/>
      <c r="Q165" s="244"/>
      <c r="R165" s="244"/>
      <c r="S165" s="244"/>
      <c r="T165" s="244"/>
      <c r="U165" s="230">
        <v>500</v>
      </c>
      <c r="V165" s="258">
        <v>0</v>
      </c>
      <c r="W165" s="258">
        <v>500</v>
      </c>
      <c r="X165" s="258">
        <v>0</v>
      </c>
      <c r="Y165" s="258">
        <v>0</v>
      </c>
    </row>
    <row r="166" spans="1:25" s="4" customFormat="1" ht="216" x14ac:dyDescent="0.3">
      <c r="A166" s="47" t="s">
        <v>1254</v>
      </c>
      <c r="B166" s="243" t="s">
        <v>840</v>
      </c>
      <c r="C166" s="243" t="s">
        <v>1310</v>
      </c>
      <c r="D166" s="257" t="s">
        <v>1033</v>
      </c>
      <c r="E166" s="257" t="s">
        <v>209</v>
      </c>
      <c r="F166" s="245" t="s">
        <v>1013</v>
      </c>
      <c r="G166" s="257" t="s">
        <v>62</v>
      </c>
      <c r="H166" s="244"/>
      <c r="I166" s="244"/>
      <c r="J166" s="244"/>
      <c r="K166" s="244"/>
      <c r="L166" s="244"/>
      <c r="M166" s="244"/>
      <c r="N166" s="244"/>
      <c r="O166" s="244">
        <v>50</v>
      </c>
      <c r="P166" s="244">
        <v>100</v>
      </c>
      <c r="Q166" s="244"/>
      <c r="R166" s="244"/>
      <c r="S166" s="244"/>
      <c r="T166" s="244"/>
      <c r="U166" s="230">
        <v>0</v>
      </c>
      <c r="V166" s="258">
        <v>0</v>
      </c>
      <c r="W166" s="258">
        <v>0</v>
      </c>
      <c r="X166" s="258">
        <v>0</v>
      </c>
      <c r="Y166" s="258">
        <v>0</v>
      </c>
    </row>
    <row r="167" spans="1:25" s="4" customFormat="1" ht="192" x14ac:dyDescent="0.3">
      <c r="A167" s="47" t="s">
        <v>1097</v>
      </c>
      <c r="B167" s="243" t="s">
        <v>339</v>
      </c>
      <c r="C167" s="243" t="s">
        <v>1311</v>
      </c>
      <c r="D167" s="257" t="s">
        <v>329</v>
      </c>
      <c r="E167" s="257" t="s">
        <v>1193</v>
      </c>
      <c r="F167" s="245" t="s">
        <v>1008</v>
      </c>
      <c r="G167" s="257" t="s">
        <v>62</v>
      </c>
      <c r="H167" s="244"/>
      <c r="I167" s="244"/>
      <c r="J167" s="244"/>
      <c r="K167" s="244"/>
      <c r="L167" s="244"/>
      <c r="M167" s="244"/>
      <c r="N167" s="244">
        <v>30</v>
      </c>
      <c r="O167" s="244">
        <v>70</v>
      </c>
      <c r="P167" s="244"/>
      <c r="Q167" s="244"/>
      <c r="R167" s="244"/>
      <c r="S167" s="244"/>
      <c r="T167" s="244"/>
      <c r="U167" s="230">
        <v>640</v>
      </c>
      <c r="V167" s="258">
        <v>0</v>
      </c>
      <c r="W167" s="258">
        <v>640</v>
      </c>
      <c r="X167" s="258">
        <v>0</v>
      </c>
      <c r="Y167" s="258">
        <v>0</v>
      </c>
    </row>
    <row r="168" spans="1:25" s="4" customFormat="1" ht="216" x14ac:dyDescent="0.3">
      <c r="A168" s="47" t="s">
        <v>324</v>
      </c>
      <c r="B168" s="243" t="s">
        <v>331</v>
      </c>
      <c r="C168" s="243" t="s">
        <v>1257</v>
      </c>
      <c r="D168" s="257" t="s">
        <v>329</v>
      </c>
      <c r="E168" s="257">
        <v>2025</v>
      </c>
      <c r="F168" s="245" t="s">
        <v>1009</v>
      </c>
      <c r="G168" s="257" t="s">
        <v>62</v>
      </c>
      <c r="H168" s="244"/>
      <c r="I168" s="244"/>
      <c r="J168" s="244"/>
      <c r="K168" s="244"/>
      <c r="L168" s="244"/>
      <c r="M168" s="244"/>
      <c r="N168" s="244"/>
      <c r="O168" s="244">
        <v>100</v>
      </c>
      <c r="P168" s="244"/>
      <c r="Q168" s="244"/>
      <c r="R168" s="244"/>
      <c r="S168" s="244"/>
      <c r="T168" s="244"/>
      <c r="U168" s="230">
        <v>1300</v>
      </c>
      <c r="V168" s="258">
        <v>0</v>
      </c>
      <c r="W168" s="258">
        <v>1300</v>
      </c>
      <c r="X168" s="258">
        <v>0</v>
      </c>
      <c r="Y168" s="258">
        <v>0</v>
      </c>
    </row>
    <row r="169" spans="1:25" s="4" customFormat="1" ht="264" x14ac:dyDescent="0.3">
      <c r="A169" s="47" t="s">
        <v>1255</v>
      </c>
      <c r="B169" s="243" t="s">
        <v>332</v>
      </c>
      <c r="C169" s="243" t="s">
        <v>1256</v>
      </c>
      <c r="D169" s="257" t="s">
        <v>329</v>
      </c>
      <c r="E169" s="257" t="s">
        <v>333</v>
      </c>
      <c r="F169" s="245" t="s">
        <v>323</v>
      </c>
      <c r="G169" s="257" t="s">
        <v>62</v>
      </c>
      <c r="H169" s="244"/>
      <c r="I169" s="244"/>
      <c r="J169" s="244"/>
      <c r="K169" s="244">
        <v>20</v>
      </c>
      <c r="L169" s="244">
        <v>80</v>
      </c>
      <c r="M169" s="244"/>
      <c r="N169" s="244"/>
      <c r="O169" s="244"/>
      <c r="P169" s="244"/>
      <c r="Q169" s="244"/>
      <c r="R169" s="244"/>
      <c r="S169" s="244"/>
      <c r="T169" s="244"/>
      <c r="U169" s="230">
        <v>865</v>
      </c>
      <c r="V169" s="258">
        <v>0</v>
      </c>
      <c r="W169" s="258">
        <v>865</v>
      </c>
      <c r="X169" s="258">
        <v>0</v>
      </c>
      <c r="Y169" s="258">
        <v>0</v>
      </c>
    </row>
    <row r="170" spans="1:25" s="4" customFormat="1" ht="409.5" x14ac:dyDescent="0.3">
      <c r="A170" s="47" t="s">
        <v>326</v>
      </c>
      <c r="B170" s="243" t="s">
        <v>334</v>
      </c>
      <c r="C170" s="243" t="s">
        <v>335</v>
      </c>
      <c r="D170" s="257" t="s">
        <v>329</v>
      </c>
      <c r="E170" s="257" t="s">
        <v>217</v>
      </c>
      <c r="F170" s="245" t="s">
        <v>1010</v>
      </c>
      <c r="G170" s="257" t="s">
        <v>62</v>
      </c>
      <c r="H170" s="244"/>
      <c r="I170" s="244"/>
      <c r="J170" s="244"/>
      <c r="K170" s="244"/>
      <c r="L170" s="244">
        <v>50</v>
      </c>
      <c r="M170" s="244">
        <v>50</v>
      </c>
      <c r="N170" s="244"/>
      <c r="O170" s="244"/>
      <c r="P170" s="244"/>
      <c r="Q170" s="244"/>
      <c r="R170" s="244"/>
      <c r="S170" s="244"/>
      <c r="T170" s="244"/>
      <c r="U170" s="230">
        <v>900</v>
      </c>
      <c r="V170" s="258">
        <v>0</v>
      </c>
      <c r="W170" s="258">
        <v>900</v>
      </c>
      <c r="X170" s="258">
        <v>0</v>
      </c>
      <c r="Y170" s="258">
        <v>0</v>
      </c>
    </row>
    <row r="171" spans="1:25" s="4" customFormat="1" ht="240" x14ac:dyDescent="0.3">
      <c r="A171" s="47" t="s">
        <v>1098</v>
      </c>
      <c r="B171" s="243" t="s">
        <v>337</v>
      </c>
      <c r="C171" s="243" t="s">
        <v>338</v>
      </c>
      <c r="D171" s="257" t="s">
        <v>329</v>
      </c>
      <c r="E171" s="257" t="s">
        <v>217</v>
      </c>
      <c r="F171" s="245" t="s">
        <v>1011</v>
      </c>
      <c r="G171" s="257" t="s">
        <v>62</v>
      </c>
      <c r="H171" s="244"/>
      <c r="I171" s="244"/>
      <c r="J171" s="244"/>
      <c r="K171" s="244"/>
      <c r="L171" s="244"/>
      <c r="M171" s="244">
        <v>50</v>
      </c>
      <c r="N171" s="244">
        <v>50</v>
      </c>
      <c r="O171" s="244"/>
      <c r="P171" s="244"/>
      <c r="Q171" s="244"/>
      <c r="R171" s="244"/>
      <c r="S171" s="244"/>
      <c r="T171" s="244"/>
      <c r="U171" s="230">
        <v>400</v>
      </c>
      <c r="V171" s="258">
        <v>0</v>
      </c>
      <c r="W171" s="258">
        <v>400</v>
      </c>
      <c r="X171" s="258">
        <v>0</v>
      </c>
      <c r="Y171" s="258">
        <v>0</v>
      </c>
    </row>
    <row r="172" spans="1:25" s="4" customFormat="1" ht="120" x14ac:dyDescent="0.3">
      <c r="A172" s="47" t="s">
        <v>327</v>
      </c>
      <c r="B172" s="243" t="s">
        <v>340</v>
      </c>
      <c r="C172" s="243" t="s">
        <v>341</v>
      </c>
      <c r="D172" s="257" t="s">
        <v>329</v>
      </c>
      <c r="E172" s="257">
        <v>2021</v>
      </c>
      <c r="F172" s="245" t="s">
        <v>1012</v>
      </c>
      <c r="G172" s="257" t="s">
        <v>62</v>
      </c>
      <c r="H172" s="244"/>
      <c r="I172" s="244"/>
      <c r="J172" s="244"/>
      <c r="K172" s="244">
        <v>50</v>
      </c>
      <c r="L172" s="244">
        <v>70</v>
      </c>
      <c r="M172" s="244">
        <v>100</v>
      </c>
      <c r="N172" s="244"/>
      <c r="O172" s="244"/>
      <c r="P172" s="244"/>
      <c r="Q172" s="244"/>
      <c r="R172" s="244"/>
      <c r="S172" s="244"/>
      <c r="T172" s="244"/>
      <c r="U172" s="230">
        <v>57</v>
      </c>
      <c r="V172" s="258">
        <v>0</v>
      </c>
      <c r="W172" s="258">
        <v>57</v>
      </c>
      <c r="X172" s="258">
        <v>0</v>
      </c>
      <c r="Y172" s="258">
        <v>0</v>
      </c>
    </row>
    <row r="173" spans="1:25" s="4" customFormat="1" ht="240" x14ac:dyDescent="0.3">
      <c r="A173" s="47" t="s">
        <v>328</v>
      </c>
      <c r="B173" s="243" t="s">
        <v>923</v>
      </c>
      <c r="C173" s="243" t="s">
        <v>1258</v>
      </c>
      <c r="D173" s="257" t="s">
        <v>813</v>
      </c>
      <c r="E173" s="257" t="s">
        <v>52</v>
      </c>
      <c r="F173" s="245" t="s">
        <v>924</v>
      </c>
      <c r="G173" s="257" t="s">
        <v>62</v>
      </c>
      <c r="H173" s="244">
        <v>100</v>
      </c>
      <c r="I173" s="244">
        <v>100</v>
      </c>
      <c r="J173" s="244">
        <v>100</v>
      </c>
      <c r="K173" s="244">
        <v>100</v>
      </c>
      <c r="L173" s="244">
        <v>100</v>
      </c>
      <c r="M173" s="244">
        <v>100</v>
      </c>
      <c r="N173" s="244">
        <v>100</v>
      </c>
      <c r="O173" s="244">
        <v>100</v>
      </c>
      <c r="P173" s="244">
        <v>100</v>
      </c>
      <c r="Q173" s="244">
        <v>100</v>
      </c>
      <c r="R173" s="244">
        <v>100</v>
      </c>
      <c r="S173" s="244">
        <v>100</v>
      </c>
      <c r="T173" s="244">
        <v>100</v>
      </c>
      <c r="U173" s="230">
        <v>33658.800000000003</v>
      </c>
      <c r="V173" s="258">
        <v>29058</v>
      </c>
      <c r="W173" s="258">
        <v>2923.3</v>
      </c>
      <c r="X173" s="258">
        <v>1677.5</v>
      </c>
      <c r="Y173" s="258">
        <v>0</v>
      </c>
    </row>
    <row r="174" spans="1:25" ht="24" x14ac:dyDescent="0.3">
      <c r="A174" s="78">
        <v>2</v>
      </c>
      <c r="B174" s="951" t="s">
        <v>343</v>
      </c>
      <c r="C174" s="951"/>
      <c r="D174" s="951"/>
      <c r="E174" s="951"/>
      <c r="F174" s="951"/>
      <c r="G174" s="951"/>
      <c r="H174" s="951"/>
      <c r="I174" s="951"/>
      <c r="J174" s="951"/>
      <c r="K174" s="951"/>
      <c r="L174" s="951"/>
      <c r="M174" s="951"/>
      <c r="N174" s="951"/>
      <c r="O174" s="951"/>
      <c r="P174" s="951"/>
      <c r="Q174" s="951"/>
      <c r="R174" s="951"/>
      <c r="S174" s="951"/>
      <c r="T174" s="951"/>
      <c r="U174" s="200"/>
      <c r="V174" s="79"/>
      <c r="W174" s="79"/>
      <c r="X174" s="79"/>
      <c r="Y174" s="79"/>
    </row>
    <row r="175" spans="1:25" ht="24" x14ac:dyDescent="0.3">
      <c r="A175" s="67" t="s">
        <v>344</v>
      </c>
      <c r="B175" s="946" t="s">
        <v>345</v>
      </c>
      <c r="C175" s="946"/>
      <c r="D175" s="946"/>
      <c r="E175" s="946"/>
      <c r="F175" s="946"/>
      <c r="G175" s="946"/>
      <c r="H175" s="946"/>
      <c r="I175" s="946"/>
      <c r="J175" s="946"/>
      <c r="K175" s="946"/>
      <c r="L175" s="946"/>
      <c r="M175" s="946"/>
      <c r="N175" s="946"/>
      <c r="O175" s="946"/>
      <c r="P175" s="946"/>
      <c r="Q175" s="946"/>
      <c r="R175" s="946"/>
      <c r="S175" s="946"/>
      <c r="T175" s="946"/>
      <c r="U175" s="56"/>
      <c r="V175" s="57"/>
      <c r="W175" s="57"/>
      <c r="X175" s="57"/>
      <c r="Y175" s="57"/>
    </row>
    <row r="176" spans="1:25" ht="111.75" customHeight="1" x14ac:dyDescent="0.3">
      <c r="A176" s="90" t="s">
        <v>346</v>
      </c>
      <c r="B176" s="948" t="s">
        <v>1233</v>
      </c>
      <c r="C176" s="949"/>
      <c r="D176" s="949"/>
      <c r="E176" s="950"/>
      <c r="F176" s="254" t="s">
        <v>1413</v>
      </c>
      <c r="G176" s="143" t="s">
        <v>1414</v>
      </c>
      <c r="H176" s="143">
        <v>2</v>
      </c>
      <c r="I176" s="143">
        <v>40</v>
      </c>
      <c r="J176" s="143">
        <v>40</v>
      </c>
      <c r="K176" s="143">
        <v>40</v>
      </c>
      <c r="L176" s="143">
        <v>40</v>
      </c>
      <c r="M176" s="143">
        <v>40</v>
      </c>
      <c r="N176" s="143">
        <v>40</v>
      </c>
      <c r="O176" s="143">
        <v>40</v>
      </c>
      <c r="P176" s="143">
        <v>40</v>
      </c>
      <c r="Q176" s="143">
        <v>40</v>
      </c>
      <c r="R176" s="143">
        <v>40</v>
      </c>
      <c r="S176" s="143">
        <v>40</v>
      </c>
      <c r="T176" s="143">
        <v>40</v>
      </c>
      <c r="U176" s="51"/>
      <c r="V176" s="52"/>
      <c r="W176" s="52"/>
      <c r="X176" s="52"/>
      <c r="Y176" s="52"/>
    </row>
    <row r="177" spans="1:25" s="4" customFormat="1" ht="252.75" customHeight="1" x14ac:dyDescent="0.3">
      <c r="A177" s="796" t="s">
        <v>347</v>
      </c>
      <c r="B177" s="804" t="s">
        <v>1034</v>
      </c>
      <c r="C177" s="859" t="s">
        <v>867</v>
      </c>
      <c r="D177" s="728" t="s">
        <v>348</v>
      </c>
      <c r="E177" s="244" t="s">
        <v>144</v>
      </c>
      <c r="F177" s="245" t="s">
        <v>835</v>
      </c>
      <c r="G177" s="257" t="s">
        <v>349</v>
      </c>
      <c r="H177" s="244"/>
      <c r="I177" s="244">
        <v>1</v>
      </c>
      <c r="J177" s="244">
        <v>4</v>
      </c>
      <c r="K177" s="244">
        <v>4</v>
      </c>
      <c r="L177" s="244">
        <v>3</v>
      </c>
      <c r="M177" s="244"/>
      <c r="N177" s="244"/>
      <c r="O177" s="244"/>
      <c r="P177" s="244"/>
      <c r="Q177" s="244"/>
      <c r="R177" s="244"/>
      <c r="S177" s="244"/>
      <c r="T177" s="244"/>
      <c r="U177" s="773">
        <v>96500</v>
      </c>
      <c r="V177" s="791">
        <v>0</v>
      </c>
      <c r="W177" s="791">
        <v>96500</v>
      </c>
      <c r="X177" s="791">
        <v>0</v>
      </c>
      <c r="Y177" s="791">
        <v>0</v>
      </c>
    </row>
    <row r="178" spans="1:25" s="4" customFormat="1" ht="283.5" customHeight="1" x14ac:dyDescent="0.3">
      <c r="A178" s="797"/>
      <c r="B178" s="805"/>
      <c r="C178" s="861"/>
      <c r="D178" s="729"/>
      <c r="E178" s="244" t="s">
        <v>52</v>
      </c>
      <c r="F178" s="119" t="s">
        <v>350</v>
      </c>
      <c r="G178" s="257" t="s">
        <v>62</v>
      </c>
      <c r="H178" s="244"/>
      <c r="I178" s="244">
        <v>85</v>
      </c>
      <c r="J178" s="244">
        <v>85</v>
      </c>
      <c r="K178" s="244">
        <v>85</v>
      </c>
      <c r="L178" s="244">
        <v>85</v>
      </c>
      <c r="M178" s="244">
        <v>85</v>
      </c>
      <c r="N178" s="244">
        <v>85</v>
      </c>
      <c r="O178" s="244">
        <v>90</v>
      </c>
      <c r="P178" s="244">
        <v>90</v>
      </c>
      <c r="Q178" s="244">
        <v>90</v>
      </c>
      <c r="R178" s="244">
        <v>95</v>
      </c>
      <c r="S178" s="244">
        <v>95</v>
      </c>
      <c r="T178" s="244">
        <v>100</v>
      </c>
      <c r="U178" s="774"/>
      <c r="V178" s="792"/>
      <c r="W178" s="792"/>
      <c r="X178" s="792"/>
      <c r="Y178" s="792"/>
    </row>
    <row r="179" spans="1:25" s="4" customFormat="1" ht="96" x14ac:dyDescent="0.3">
      <c r="A179" s="229" t="s">
        <v>351</v>
      </c>
      <c r="B179" s="247" t="s">
        <v>838</v>
      </c>
      <c r="C179" s="243" t="s">
        <v>865</v>
      </c>
      <c r="D179" s="257" t="s">
        <v>352</v>
      </c>
      <c r="E179" s="244" t="s">
        <v>353</v>
      </c>
      <c r="F179" s="245" t="s">
        <v>839</v>
      </c>
      <c r="G179" s="257" t="s">
        <v>349</v>
      </c>
      <c r="H179" s="244"/>
      <c r="I179" s="244"/>
      <c r="J179" s="244">
        <v>1</v>
      </c>
      <c r="K179" s="244">
        <v>2</v>
      </c>
      <c r="L179" s="244">
        <v>1</v>
      </c>
      <c r="M179" s="244"/>
      <c r="N179" s="244"/>
      <c r="O179" s="244"/>
      <c r="P179" s="244"/>
      <c r="Q179" s="244"/>
      <c r="R179" s="244"/>
      <c r="S179" s="244"/>
      <c r="T179" s="244"/>
      <c r="U179" s="230">
        <v>4000</v>
      </c>
      <c r="V179" s="258">
        <v>4000</v>
      </c>
      <c r="W179" s="258">
        <v>0</v>
      </c>
      <c r="X179" s="258">
        <v>0</v>
      </c>
      <c r="Y179" s="258">
        <v>0</v>
      </c>
    </row>
    <row r="180" spans="1:25" s="4" customFormat="1" ht="96" x14ac:dyDescent="0.3">
      <c r="A180" s="47" t="s">
        <v>354</v>
      </c>
      <c r="B180" s="242" t="s">
        <v>355</v>
      </c>
      <c r="C180" s="243" t="s">
        <v>866</v>
      </c>
      <c r="D180" s="257" t="s">
        <v>352</v>
      </c>
      <c r="E180" s="244" t="s">
        <v>152</v>
      </c>
      <c r="F180" s="73" t="s">
        <v>356</v>
      </c>
      <c r="G180" s="257" t="s">
        <v>62</v>
      </c>
      <c r="H180" s="244"/>
      <c r="I180" s="244">
        <v>31.5</v>
      </c>
      <c r="J180" s="244">
        <v>60</v>
      </c>
      <c r="K180" s="244">
        <v>100</v>
      </c>
      <c r="L180" s="244">
        <v>100</v>
      </c>
      <c r="M180" s="244">
        <v>100</v>
      </c>
      <c r="N180" s="244">
        <v>100</v>
      </c>
      <c r="O180" s="244">
        <v>100</v>
      </c>
      <c r="P180" s="244">
        <v>100</v>
      </c>
      <c r="Q180" s="244">
        <v>100</v>
      </c>
      <c r="R180" s="244">
        <v>100</v>
      </c>
      <c r="S180" s="244">
        <v>100</v>
      </c>
      <c r="T180" s="244">
        <v>100</v>
      </c>
      <c r="U180" s="230">
        <v>95500</v>
      </c>
      <c r="V180" s="258">
        <v>95500</v>
      </c>
      <c r="W180" s="258">
        <v>0</v>
      </c>
      <c r="X180" s="258">
        <v>0</v>
      </c>
      <c r="Y180" s="258">
        <v>0</v>
      </c>
    </row>
    <row r="181" spans="1:25" s="4" customFormat="1" ht="96" x14ac:dyDescent="0.3">
      <c r="A181" s="796" t="s">
        <v>357</v>
      </c>
      <c r="B181" s="804" t="s">
        <v>358</v>
      </c>
      <c r="C181" s="243" t="s">
        <v>863</v>
      </c>
      <c r="D181" s="257" t="s">
        <v>1167</v>
      </c>
      <c r="E181" s="257" t="s">
        <v>325</v>
      </c>
      <c r="F181" s="245" t="s">
        <v>359</v>
      </c>
      <c r="G181" s="43" t="s">
        <v>62</v>
      </c>
      <c r="H181" s="244"/>
      <c r="I181" s="244"/>
      <c r="J181" s="257"/>
      <c r="K181" s="257">
        <v>10</v>
      </c>
      <c r="L181" s="257">
        <v>50</v>
      </c>
      <c r="M181" s="257">
        <v>100</v>
      </c>
      <c r="N181" s="257"/>
      <c r="O181" s="257"/>
      <c r="P181" s="244"/>
      <c r="Q181" s="244"/>
      <c r="R181" s="244"/>
      <c r="S181" s="244"/>
      <c r="T181" s="244"/>
      <c r="U181" s="230">
        <v>85000</v>
      </c>
      <c r="V181" s="258">
        <v>0</v>
      </c>
      <c r="W181" s="258">
        <v>0</v>
      </c>
      <c r="X181" s="258">
        <v>0</v>
      </c>
      <c r="Y181" s="258">
        <v>0</v>
      </c>
    </row>
    <row r="182" spans="1:25" s="4" customFormat="1" ht="96" x14ac:dyDescent="0.3">
      <c r="A182" s="797"/>
      <c r="B182" s="805"/>
      <c r="C182" s="243" t="s">
        <v>864</v>
      </c>
      <c r="D182" s="257" t="s">
        <v>1167</v>
      </c>
      <c r="E182" s="257" t="s">
        <v>1211</v>
      </c>
      <c r="F182" s="245" t="s">
        <v>359</v>
      </c>
      <c r="G182" s="43" t="s">
        <v>62</v>
      </c>
      <c r="H182" s="244"/>
      <c r="I182" s="244"/>
      <c r="J182" s="257"/>
      <c r="K182" s="257">
        <v>10</v>
      </c>
      <c r="L182" s="257">
        <v>20</v>
      </c>
      <c r="M182" s="257">
        <v>40</v>
      </c>
      <c r="N182" s="257">
        <v>60</v>
      </c>
      <c r="O182" s="257">
        <v>80</v>
      </c>
      <c r="P182" s="257">
        <v>100</v>
      </c>
      <c r="Q182" s="244"/>
      <c r="R182" s="244"/>
      <c r="S182" s="244"/>
      <c r="T182" s="244"/>
      <c r="U182" s="230">
        <v>130000</v>
      </c>
      <c r="V182" s="258">
        <v>0</v>
      </c>
      <c r="W182" s="258">
        <v>0</v>
      </c>
      <c r="X182" s="258">
        <v>0</v>
      </c>
      <c r="Y182" s="258">
        <v>0</v>
      </c>
    </row>
    <row r="183" spans="1:25" s="4" customFormat="1" ht="120" x14ac:dyDescent="0.3">
      <c r="A183" s="796" t="s">
        <v>360</v>
      </c>
      <c r="B183" s="804" t="s">
        <v>361</v>
      </c>
      <c r="C183" s="243" t="s">
        <v>1312</v>
      </c>
      <c r="D183" s="257" t="s">
        <v>1167</v>
      </c>
      <c r="E183" s="43" t="s">
        <v>152</v>
      </c>
      <c r="F183" s="245" t="s">
        <v>359</v>
      </c>
      <c r="G183" s="43" t="s">
        <v>62</v>
      </c>
      <c r="H183" s="244"/>
      <c r="I183" s="257">
        <v>50</v>
      </c>
      <c r="J183" s="257">
        <v>90</v>
      </c>
      <c r="K183" s="64">
        <v>100</v>
      </c>
      <c r="L183" s="115"/>
      <c r="M183" s="244"/>
      <c r="N183" s="244"/>
      <c r="O183" s="244"/>
      <c r="P183" s="244"/>
      <c r="Q183" s="244"/>
      <c r="R183" s="244"/>
      <c r="S183" s="244"/>
      <c r="T183" s="244"/>
      <c r="U183" s="230">
        <v>101600</v>
      </c>
      <c r="V183" s="258">
        <v>0</v>
      </c>
      <c r="W183" s="258">
        <v>0</v>
      </c>
      <c r="X183" s="258">
        <v>0</v>
      </c>
      <c r="Y183" s="258">
        <v>0</v>
      </c>
    </row>
    <row r="184" spans="1:25" s="4" customFormat="1" ht="144" x14ac:dyDescent="0.3">
      <c r="A184" s="797"/>
      <c r="B184" s="805"/>
      <c r="C184" s="243" t="s">
        <v>1313</v>
      </c>
      <c r="D184" s="257" t="s">
        <v>1167</v>
      </c>
      <c r="E184" s="43" t="s">
        <v>325</v>
      </c>
      <c r="F184" s="245" t="s">
        <v>359</v>
      </c>
      <c r="G184" s="43" t="s">
        <v>62</v>
      </c>
      <c r="H184" s="244"/>
      <c r="I184" s="207"/>
      <c r="J184" s="257"/>
      <c r="K184" s="257">
        <v>10</v>
      </c>
      <c r="L184" s="257">
        <v>50</v>
      </c>
      <c r="M184" s="257">
        <v>100</v>
      </c>
      <c r="N184" s="244"/>
      <c r="O184" s="244"/>
      <c r="P184" s="244"/>
      <c r="Q184" s="244"/>
      <c r="R184" s="244"/>
      <c r="S184" s="244"/>
      <c r="T184" s="244"/>
      <c r="U184" s="230">
        <v>41000</v>
      </c>
      <c r="V184" s="258">
        <v>0</v>
      </c>
      <c r="W184" s="258">
        <v>0</v>
      </c>
      <c r="X184" s="258">
        <v>0</v>
      </c>
      <c r="Y184" s="258">
        <v>0</v>
      </c>
    </row>
    <row r="185" spans="1:25" s="4" customFormat="1" ht="240" x14ac:dyDescent="0.3">
      <c r="A185" s="47" t="s">
        <v>1314</v>
      </c>
      <c r="B185" s="242" t="s">
        <v>363</v>
      </c>
      <c r="C185" s="243" t="s">
        <v>1315</v>
      </c>
      <c r="D185" s="257" t="s">
        <v>364</v>
      </c>
      <c r="E185" s="43" t="s">
        <v>1212</v>
      </c>
      <c r="F185" s="245" t="s">
        <v>365</v>
      </c>
      <c r="G185" s="257" t="s">
        <v>62</v>
      </c>
      <c r="H185" s="43"/>
      <c r="I185" s="80"/>
      <c r="J185" s="80"/>
      <c r="K185" s="80"/>
      <c r="L185" s="257"/>
      <c r="M185" s="257">
        <v>30</v>
      </c>
      <c r="N185" s="257">
        <v>50</v>
      </c>
      <c r="O185" s="257">
        <v>70</v>
      </c>
      <c r="P185" s="257">
        <v>100</v>
      </c>
      <c r="Q185" s="244"/>
      <c r="R185" s="244"/>
      <c r="S185" s="244"/>
      <c r="T185" s="244"/>
      <c r="U185" s="230">
        <v>22000</v>
      </c>
      <c r="V185" s="258">
        <v>0</v>
      </c>
      <c r="W185" s="258">
        <v>0</v>
      </c>
      <c r="X185" s="258">
        <v>0</v>
      </c>
      <c r="Y185" s="258">
        <v>0</v>
      </c>
    </row>
    <row r="186" spans="1:25" s="4" customFormat="1" ht="48" x14ac:dyDescent="0.3">
      <c r="A186" s="796" t="s">
        <v>362</v>
      </c>
      <c r="B186" s="804" t="s">
        <v>367</v>
      </c>
      <c r="C186" s="243" t="s">
        <v>1316</v>
      </c>
      <c r="D186" s="257" t="s">
        <v>364</v>
      </c>
      <c r="E186" s="43" t="s">
        <v>368</v>
      </c>
      <c r="F186" s="245" t="s">
        <v>369</v>
      </c>
      <c r="G186" s="257" t="s">
        <v>62</v>
      </c>
      <c r="H186" s="43"/>
      <c r="I186" s="257"/>
      <c r="J186" s="257">
        <v>10</v>
      </c>
      <c r="K186" s="257">
        <v>20</v>
      </c>
      <c r="L186" s="257">
        <v>40</v>
      </c>
      <c r="M186" s="257">
        <v>60</v>
      </c>
      <c r="N186" s="257">
        <v>70</v>
      </c>
      <c r="O186" s="257">
        <v>80</v>
      </c>
      <c r="P186" s="257">
        <v>85</v>
      </c>
      <c r="Q186" s="257">
        <v>90</v>
      </c>
      <c r="R186" s="257">
        <v>95</v>
      </c>
      <c r="S186" s="257">
        <v>100</v>
      </c>
      <c r="T186" s="244"/>
      <c r="U186" s="230">
        <v>19000</v>
      </c>
      <c r="V186" s="258">
        <v>0</v>
      </c>
      <c r="W186" s="258">
        <v>0</v>
      </c>
      <c r="X186" s="258">
        <v>0</v>
      </c>
      <c r="Y186" s="258">
        <v>0</v>
      </c>
    </row>
    <row r="187" spans="1:25" s="4" customFormat="1" ht="48" x14ac:dyDescent="0.3">
      <c r="A187" s="797"/>
      <c r="B187" s="805"/>
      <c r="C187" s="243" t="s">
        <v>1317</v>
      </c>
      <c r="D187" s="257" t="s">
        <v>364</v>
      </c>
      <c r="E187" s="43" t="s">
        <v>1213</v>
      </c>
      <c r="F187" s="245" t="s">
        <v>370</v>
      </c>
      <c r="G187" s="257" t="s">
        <v>62</v>
      </c>
      <c r="H187" s="43"/>
      <c r="I187" s="257"/>
      <c r="J187" s="257"/>
      <c r="K187" s="257"/>
      <c r="L187" s="257">
        <v>10</v>
      </c>
      <c r="M187" s="257">
        <v>20</v>
      </c>
      <c r="N187" s="257">
        <v>30</v>
      </c>
      <c r="O187" s="257">
        <v>40</v>
      </c>
      <c r="P187" s="257">
        <v>50</v>
      </c>
      <c r="Q187" s="257">
        <v>60</v>
      </c>
      <c r="R187" s="257">
        <v>70</v>
      </c>
      <c r="S187" s="257">
        <v>85</v>
      </c>
      <c r="T187" s="244">
        <v>100</v>
      </c>
      <c r="U187" s="230">
        <v>45000</v>
      </c>
      <c r="V187" s="258">
        <v>0</v>
      </c>
      <c r="W187" s="258">
        <v>0</v>
      </c>
      <c r="X187" s="258">
        <v>0</v>
      </c>
      <c r="Y187" s="258">
        <v>0</v>
      </c>
    </row>
    <row r="188" spans="1:25" s="4" customFormat="1" ht="144" x14ac:dyDescent="0.3">
      <c r="A188" s="47" t="s">
        <v>366</v>
      </c>
      <c r="B188" s="243" t="s">
        <v>372</v>
      </c>
      <c r="C188" s="243" t="s">
        <v>1318</v>
      </c>
      <c r="D188" s="257" t="s">
        <v>364</v>
      </c>
      <c r="E188" s="257" t="s">
        <v>1188</v>
      </c>
      <c r="F188" s="245" t="s">
        <v>373</v>
      </c>
      <c r="G188" s="257" t="s">
        <v>62</v>
      </c>
      <c r="H188" s="257"/>
      <c r="I188" s="257"/>
      <c r="J188" s="257"/>
      <c r="K188" s="257">
        <v>10</v>
      </c>
      <c r="L188" s="257">
        <v>20</v>
      </c>
      <c r="M188" s="257">
        <v>30</v>
      </c>
      <c r="N188" s="257">
        <v>40</v>
      </c>
      <c r="O188" s="257">
        <v>50</v>
      </c>
      <c r="P188" s="257">
        <v>60</v>
      </c>
      <c r="Q188" s="257">
        <v>70</v>
      </c>
      <c r="R188" s="257">
        <v>80</v>
      </c>
      <c r="S188" s="257">
        <v>90</v>
      </c>
      <c r="T188" s="257">
        <v>100</v>
      </c>
      <c r="U188" s="230">
        <v>10000</v>
      </c>
      <c r="V188" s="258">
        <v>0</v>
      </c>
      <c r="W188" s="258">
        <v>0</v>
      </c>
      <c r="X188" s="258">
        <v>0</v>
      </c>
      <c r="Y188" s="258">
        <v>0</v>
      </c>
    </row>
    <row r="189" spans="1:25" s="4" customFormat="1" ht="168" x14ac:dyDescent="0.3">
      <c r="A189" s="796" t="s">
        <v>371</v>
      </c>
      <c r="B189" s="804" t="s">
        <v>375</v>
      </c>
      <c r="C189" s="242" t="s">
        <v>1319</v>
      </c>
      <c r="D189" s="257" t="s">
        <v>364</v>
      </c>
      <c r="E189" s="257" t="s">
        <v>376</v>
      </c>
      <c r="F189" s="245" t="s">
        <v>377</v>
      </c>
      <c r="G189" s="257" t="s">
        <v>62</v>
      </c>
      <c r="H189" s="257"/>
      <c r="I189" s="257"/>
      <c r="J189" s="257">
        <v>20</v>
      </c>
      <c r="K189" s="257">
        <v>40</v>
      </c>
      <c r="L189" s="257">
        <v>60</v>
      </c>
      <c r="M189" s="257">
        <v>80</v>
      </c>
      <c r="N189" s="257">
        <v>100</v>
      </c>
      <c r="O189" s="244"/>
      <c r="P189" s="244"/>
      <c r="Q189" s="244"/>
      <c r="R189" s="244"/>
      <c r="S189" s="244"/>
      <c r="T189" s="244"/>
      <c r="U189" s="230">
        <v>4625</v>
      </c>
      <c r="V189" s="258">
        <v>0</v>
      </c>
      <c r="W189" s="258">
        <v>0</v>
      </c>
      <c r="X189" s="258">
        <v>0</v>
      </c>
      <c r="Y189" s="258">
        <v>0</v>
      </c>
    </row>
    <row r="190" spans="1:25" s="4" customFormat="1" ht="72" x14ac:dyDescent="0.3">
      <c r="A190" s="851"/>
      <c r="B190" s="852"/>
      <c r="C190" s="242" t="s">
        <v>1320</v>
      </c>
      <c r="D190" s="257" t="s">
        <v>364</v>
      </c>
      <c r="E190" s="257" t="s">
        <v>124</v>
      </c>
      <c r="F190" s="245" t="s">
        <v>377</v>
      </c>
      <c r="G190" s="257" t="s">
        <v>62</v>
      </c>
      <c r="H190" s="257"/>
      <c r="I190" s="257">
        <v>75</v>
      </c>
      <c r="J190" s="257">
        <v>80</v>
      </c>
      <c r="K190" s="257">
        <v>85</v>
      </c>
      <c r="L190" s="257">
        <v>90</v>
      </c>
      <c r="M190" s="257">
        <v>95</v>
      </c>
      <c r="N190" s="257">
        <v>100</v>
      </c>
      <c r="O190" s="244"/>
      <c r="P190" s="244"/>
      <c r="Q190" s="244"/>
      <c r="R190" s="244"/>
      <c r="S190" s="244"/>
      <c r="T190" s="244"/>
      <c r="U190" s="230">
        <v>2237.5</v>
      </c>
      <c r="V190" s="258">
        <v>0</v>
      </c>
      <c r="W190" s="258">
        <v>0</v>
      </c>
      <c r="X190" s="258">
        <v>0</v>
      </c>
      <c r="Y190" s="258">
        <v>0</v>
      </c>
    </row>
    <row r="191" spans="1:25" s="4" customFormat="1" ht="120" x14ac:dyDescent="0.3">
      <c r="A191" s="797"/>
      <c r="B191" s="805"/>
      <c r="C191" s="242" t="s">
        <v>1321</v>
      </c>
      <c r="D191" s="257" t="s">
        <v>364</v>
      </c>
      <c r="E191" s="257" t="s">
        <v>378</v>
      </c>
      <c r="F191" s="245" t="s">
        <v>377</v>
      </c>
      <c r="G191" s="257" t="s">
        <v>62</v>
      </c>
      <c r="H191" s="257"/>
      <c r="I191" s="257"/>
      <c r="J191" s="257"/>
      <c r="K191" s="257"/>
      <c r="L191" s="257">
        <v>50</v>
      </c>
      <c r="M191" s="257">
        <v>75</v>
      </c>
      <c r="N191" s="257">
        <v>100</v>
      </c>
      <c r="O191" s="244"/>
      <c r="P191" s="244"/>
      <c r="Q191" s="244"/>
      <c r="R191" s="244"/>
      <c r="S191" s="244"/>
      <c r="T191" s="244"/>
      <c r="U191" s="230">
        <v>800</v>
      </c>
      <c r="V191" s="258">
        <v>0</v>
      </c>
      <c r="W191" s="258">
        <v>0</v>
      </c>
      <c r="X191" s="258">
        <v>0</v>
      </c>
      <c r="Y191" s="258">
        <v>0</v>
      </c>
    </row>
    <row r="192" spans="1:25" s="4" customFormat="1" ht="72" x14ac:dyDescent="0.3">
      <c r="A192" s="796" t="s">
        <v>374</v>
      </c>
      <c r="B192" s="804" t="s">
        <v>385</v>
      </c>
      <c r="C192" s="242" t="s">
        <v>386</v>
      </c>
      <c r="D192" s="257" t="s">
        <v>364</v>
      </c>
      <c r="E192" s="257" t="s">
        <v>206</v>
      </c>
      <c r="F192" s="245" t="s">
        <v>387</v>
      </c>
      <c r="G192" s="257" t="s">
        <v>62</v>
      </c>
      <c r="H192" s="257"/>
      <c r="I192" s="257"/>
      <c r="J192" s="257"/>
      <c r="K192" s="257"/>
      <c r="L192" s="257"/>
      <c r="M192" s="257"/>
      <c r="N192" s="257"/>
      <c r="O192" s="257">
        <v>10</v>
      </c>
      <c r="P192" s="257">
        <v>50</v>
      </c>
      <c r="Q192" s="257">
        <v>100</v>
      </c>
      <c r="R192" s="244"/>
      <c r="S192" s="244"/>
      <c r="T192" s="244"/>
      <c r="U192" s="230">
        <v>1900</v>
      </c>
      <c r="V192" s="258">
        <v>0</v>
      </c>
      <c r="W192" s="258">
        <v>0</v>
      </c>
      <c r="X192" s="258">
        <v>0</v>
      </c>
      <c r="Y192" s="258">
        <v>0</v>
      </c>
    </row>
    <row r="193" spans="1:25" s="4" customFormat="1" ht="96" x14ac:dyDescent="0.3">
      <c r="A193" s="797"/>
      <c r="B193" s="805"/>
      <c r="C193" s="242" t="s">
        <v>388</v>
      </c>
      <c r="D193" s="257" t="s">
        <v>389</v>
      </c>
      <c r="E193" s="257" t="s">
        <v>390</v>
      </c>
      <c r="F193" s="245" t="s">
        <v>387</v>
      </c>
      <c r="G193" s="257" t="s">
        <v>62</v>
      </c>
      <c r="H193" s="257"/>
      <c r="I193" s="257"/>
      <c r="J193" s="257"/>
      <c r="K193" s="257"/>
      <c r="L193" s="257"/>
      <c r="M193" s="257"/>
      <c r="N193" s="257"/>
      <c r="O193" s="257">
        <v>10</v>
      </c>
      <c r="P193" s="257">
        <v>50</v>
      </c>
      <c r="Q193" s="257"/>
      <c r="R193" s="244"/>
      <c r="S193" s="244"/>
      <c r="T193" s="244"/>
      <c r="U193" s="230">
        <v>1975</v>
      </c>
      <c r="V193" s="258">
        <v>0</v>
      </c>
      <c r="W193" s="258">
        <v>0</v>
      </c>
      <c r="X193" s="258">
        <v>0</v>
      </c>
      <c r="Y193" s="258">
        <v>0</v>
      </c>
    </row>
    <row r="194" spans="1:25" ht="24" x14ac:dyDescent="0.3">
      <c r="A194" s="67" t="s">
        <v>391</v>
      </c>
      <c r="B194" s="946" t="s">
        <v>392</v>
      </c>
      <c r="C194" s="946"/>
      <c r="D194" s="946"/>
      <c r="E194" s="946"/>
      <c r="F194" s="946"/>
      <c r="G194" s="946"/>
      <c r="H194" s="946"/>
      <c r="I194" s="946"/>
      <c r="J194" s="946"/>
      <c r="K194" s="946"/>
      <c r="L194" s="946"/>
      <c r="M194" s="946"/>
      <c r="N194" s="946"/>
      <c r="O194" s="946"/>
      <c r="P194" s="946"/>
      <c r="Q194" s="946"/>
      <c r="R194" s="946"/>
      <c r="S194" s="946"/>
      <c r="T194" s="946"/>
      <c r="U194" s="56"/>
      <c r="V194" s="57"/>
      <c r="W194" s="57"/>
      <c r="X194" s="57"/>
      <c r="Y194" s="57"/>
    </row>
    <row r="195" spans="1:25" ht="24" x14ac:dyDescent="0.3">
      <c r="A195" s="66" t="s">
        <v>393</v>
      </c>
      <c r="B195" s="947" t="s">
        <v>394</v>
      </c>
      <c r="C195" s="947"/>
      <c r="D195" s="947"/>
      <c r="E195" s="947"/>
      <c r="F195" s="947"/>
      <c r="G195" s="947"/>
      <c r="H195" s="947"/>
      <c r="I195" s="947"/>
      <c r="J195" s="947"/>
      <c r="K195" s="947"/>
      <c r="L195" s="947"/>
      <c r="M195" s="947"/>
      <c r="N195" s="947"/>
      <c r="O195" s="947"/>
      <c r="P195" s="947"/>
      <c r="Q195" s="947"/>
      <c r="R195" s="947"/>
      <c r="S195" s="947"/>
      <c r="T195" s="947"/>
      <c r="U195" s="51"/>
      <c r="V195" s="52"/>
      <c r="W195" s="52"/>
      <c r="X195" s="52"/>
      <c r="Y195" s="52"/>
    </row>
    <row r="196" spans="1:25" s="4" customFormat="1" ht="312" x14ac:dyDescent="0.3">
      <c r="A196" s="47" t="s">
        <v>395</v>
      </c>
      <c r="B196" s="242" t="s">
        <v>396</v>
      </c>
      <c r="C196" s="243" t="s">
        <v>1322</v>
      </c>
      <c r="D196" s="244" t="s">
        <v>1182</v>
      </c>
      <c r="E196" s="224" t="s">
        <v>397</v>
      </c>
      <c r="F196" s="245" t="s">
        <v>398</v>
      </c>
      <c r="G196" s="257" t="s">
        <v>399</v>
      </c>
      <c r="H196" s="224"/>
      <c r="I196" s="224">
        <v>1</v>
      </c>
      <c r="J196" s="224"/>
      <c r="K196" s="224"/>
      <c r="L196" s="224"/>
      <c r="M196" s="224"/>
      <c r="N196" s="224"/>
      <c r="O196" s="224"/>
      <c r="P196" s="224"/>
      <c r="Q196" s="224"/>
      <c r="R196" s="224"/>
      <c r="S196" s="224"/>
      <c r="T196" s="224"/>
      <c r="U196" s="230">
        <v>1226928.5</v>
      </c>
      <c r="V196" s="258">
        <v>0</v>
      </c>
      <c r="W196" s="258">
        <v>0</v>
      </c>
      <c r="X196" s="258">
        <v>1226928.5</v>
      </c>
      <c r="Y196" s="258">
        <v>0</v>
      </c>
    </row>
    <row r="197" spans="1:25" s="4" customFormat="1" ht="408" x14ac:dyDescent="0.3">
      <c r="A197" s="47" t="s">
        <v>400</v>
      </c>
      <c r="B197" s="242" t="s">
        <v>401</v>
      </c>
      <c r="C197" s="243" t="s">
        <v>1323</v>
      </c>
      <c r="D197" s="244" t="s">
        <v>1182</v>
      </c>
      <c r="E197" s="224">
        <v>2020</v>
      </c>
      <c r="F197" s="245" t="s">
        <v>402</v>
      </c>
      <c r="G197" s="257" t="s">
        <v>399</v>
      </c>
      <c r="H197" s="224"/>
      <c r="I197" s="224"/>
      <c r="J197" s="224">
        <v>1</v>
      </c>
      <c r="K197" s="224"/>
      <c r="L197" s="224"/>
      <c r="M197" s="224"/>
      <c r="N197" s="224"/>
      <c r="O197" s="224"/>
      <c r="P197" s="224"/>
      <c r="Q197" s="224"/>
      <c r="R197" s="224"/>
      <c r="S197" s="224"/>
      <c r="T197" s="224"/>
      <c r="U197" s="230">
        <v>2383420</v>
      </c>
      <c r="V197" s="258">
        <v>0</v>
      </c>
      <c r="W197" s="258">
        <v>0</v>
      </c>
      <c r="X197" s="258">
        <v>1383420</v>
      </c>
      <c r="Y197" s="258">
        <v>1000000</v>
      </c>
    </row>
    <row r="198" spans="1:25" s="4" customFormat="1" ht="240" x14ac:dyDescent="0.3">
      <c r="A198" s="47" t="s">
        <v>403</v>
      </c>
      <c r="B198" s="242" t="s">
        <v>404</v>
      </c>
      <c r="C198" s="242" t="s">
        <v>1324</v>
      </c>
      <c r="D198" s="257" t="s">
        <v>1181</v>
      </c>
      <c r="E198" s="224">
        <v>2030</v>
      </c>
      <c r="F198" s="245" t="s">
        <v>405</v>
      </c>
      <c r="G198" s="257" t="s">
        <v>399</v>
      </c>
      <c r="H198" s="224"/>
      <c r="I198" s="224"/>
      <c r="J198" s="224"/>
      <c r="K198" s="224"/>
      <c r="L198" s="224"/>
      <c r="M198" s="224"/>
      <c r="N198" s="224"/>
      <c r="O198" s="224"/>
      <c r="P198" s="224"/>
      <c r="Q198" s="224"/>
      <c r="R198" s="224"/>
      <c r="S198" s="224"/>
      <c r="T198" s="224">
        <v>1</v>
      </c>
      <c r="U198" s="230">
        <v>40000000</v>
      </c>
      <c r="V198" s="258">
        <v>0</v>
      </c>
      <c r="W198" s="258">
        <v>0</v>
      </c>
      <c r="X198" s="258">
        <v>40000000</v>
      </c>
      <c r="Y198" s="258">
        <v>0</v>
      </c>
    </row>
    <row r="199" spans="1:25" ht="24" x14ac:dyDescent="0.3">
      <c r="A199" s="66" t="s">
        <v>406</v>
      </c>
      <c r="B199" s="945" t="s">
        <v>407</v>
      </c>
      <c r="C199" s="945"/>
      <c r="D199" s="945"/>
      <c r="E199" s="945"/>
      <c r="F199" s="945"/>
      <c r="G199" s="945"/>
      <c r="H199" s="945"/>
      <c r="I199" s="945"/>
      <c r="J199" s="945"/>
      <c r="K199" s="945"/>
      <c r="L199" s="945"/>
      <c r="M199" s="945"/>
      <c r="N199" s="945"/>
      <c r="O199" s="945"/>
      <c r="P199" s="945"/>
      <c r="Q199" s="945"/>
      <c r="R199" s="945"/>
      <c r="S199" s="945"/>
      <c r="T199" s="945"/>
      <c r="U199" s="51"/>
      <c r="V199" s="52"/>
      <c r="W199" s="52"/>
      <c r="X199" s="52"/>
      <c r="Y199" s="52"/>
    </row>
    <row r="200" spans="1:25" s="4" customFormat="1" ht="72" x14ac:dyDescent="0.3">
      <c r="A200" s="796" t="s">
        <v>408</v>
      </c>
      <c r="B200" s="804" t="s">
        <v>409</v>
      </c>
      <c r="C200" s="859" t="s">
        <v>1325</v>
      </c>
      <c r="D200" s="728" t="s">
        <v>819</v>
      </c>
      <c r="E200" s="714" t="s">
        <v>52</v>
      </c>
      <c r="F200" s="219" t="s">
        <v>820</v>
      </c>
      <c r="G200" s="728" t="s">
        <v>62</v>
      </c>
      <c r="H200" s="244"/>
      <c r="I200" s="114">
        <v>59</v>
      </c>
      <c r="J200" s="114">
        <v>59</v>
      </c>
      <c r="K200" s="114">
        <v>59</v>
      </c>
      <c r="L200" s="114">
        <v>40</v>
      </c>
      <c r="M200" s="114">
        <v>47</v>
      </c>
      <c r="N200" s="114">
        <v>53</v>
      </c>
      <c r="O200" s="114">
        <v>40</v>
      </c>
      <c r="P200" s="114">
        <v>21</v>
      </c>
      <c r="Q200" s="114">
        <v>3</v>
      </c>
      <c r="R200" s="114">
        <v>0</v>
      </c>
      <c r="S200" s="114">
        <v>0</v>
      </c>
      <c r="T200" s="114">
        <v>0</v>
      </c>
      <c r="U200" s="773">
        <v>2055672</v>
      </c>
      <c r="V200" s="791">
        <v>2055672</v>
      </c>
      <c r="W200" s="791">
        <v>0</v>
      </c>
      <c r="X200" s="791">
        <v>0</v>
      </c>
      <c r="Y200" s="791">
        <v>0</v>
      </c>
    </row>
    <row r="201" spans="1:25" s="4" customFormat="1" ht="72" x14ac:dyDescent="0.3">
      <c r="A201" s="851"/>
      <c r="B201" s="852"/>
      <c r="C201" s="860"/>
      <c r="D201" s="734"/>
      <c r="E201" s="748"/>
      <c r="F201" s="219" t="s">
        <v>821</v>
      </c>
      <c r="G201" s="729"/>
      <c r="H201" s="244"/>
      <c r="I201" s="114">
        <v>0</v>
      </c>
      <c r="J201" s="114">
        <v>0</v>
      </c>
      <c r="K201" s="114">
        <v>0</v>
      </c>
      <c r="L201" s="114">
        <v>60</v>
      </c>
      <c r="M201" s="114">
        <v>100</v>
      </c>
      <c r="N201" s="114">
        <v>40</v>
      </c>
      <c r="O201" s="114">
        <v>0</v>
      </c>
      <c r="P201" s="114">
        <v>0</v>
      </c>
      <c r="Q201" s="114">
        <v>0</v>
      </c>
      <c r="R201" s="114">
        <v>0</v>
      </c>
      <c r="S201" s="114">
        <v>0</v>
      </c>
      <c r="T201" s="114">
        <v>0</v>
      </c>
      <c r="U201" s="799"/>
      <c r="V201" s="795"/>
      <c r="W201" s="795"/>
      <c r="X201" s="795"/>
      <c r="Y201" s="795"/>
    </row>
    <row r="202" spans="1:25" s="4" customFormat="1" ht="168" x14ac:dyDescent="0.3">
      <c r="A202" s="851"/>
      <c r="B202" s="852"/>
      <c r="C202" s="859" t="s">
        <v>1326</v>
      </c>
      <c r="D202" s="728" t="s">
        <v>410</v>
      </c>
      <c r="E202" s="714" t="s">
        <v>52</v>
      </c>
      <c r="F202" s="219" t="s">
        <v>822</v>
      </c>
      <c r="G202" s="728" t="s">
        <v>399</v>
      </c>
      <c r="H202" s="244"/>
      <c r="I202" s="257"/>
      <c r="J202" s="257"/>
      <c r="K202" s="257"/>
      <c r="L202" s="257">
        <v>30</v>
      </c>
      <c r="M202" s="257">
        <v>30</v>
      </c>
      <c r="N202" s="257">
        <v>15</v>
      </c>
      <c r="O202" s="257">
        <v>20</v>
      </c>
      <c r="P202" s="257">
        <v>30</v>
      </c>
      <c r="Q202" s="257">
        <v>30</v>
      </c>
      <c r="R202" s="257">
        <v>4</v>
      </c>
      <c r="S202" s="257">
        <v>30</v>
      </c>
      <c r="T202" s="257">
        <v>30</v>
      </c>
      <c r="U202" s="799"/>
      <c r="V202" s="795"/>
      <c r="W202" s="795"/>
      <c r="X202" s="795"/>
      <c r="Y202" s="795"/>
    </row>
    <row r="203" spans="1:25" s="4" customFormat="1" ht="168" x14ac:dyDescent="0.3">
      <c r="A203" s="797"/>
      <c r="B203" s="805"/>
      <c r="C203" s="861"/>
      <c r="D203" s="729"/>
      <c r="E203" s="715"/>
      <c r="F203" s="219" t="s">
        <v>823</v>
      </c>
      <c r="G203" s="729"/>
      <c r="H203" s="244"/>
      <c r="I203" s="257"/>
      <c r="J203" s="257"/>
      <c r="K203" s="257"/>
      <c r="L203" s="257"/>
      <c r="M203" s="257"/>
      <c r="N203" s="257">
        <v>15</v>
      </c>
      <c r="O203" s="257">
        <v>10</v>
      </c>
      <c r="P203" s="257"/>
      <c r="Q203" s="257"/>
      <c r="R203" s="257"/>
      <c r="S203" s="257"/>
      <c r="T203" s="257"/>
      <c r="U203" s="774"/>
      <c r="V203" s="792"/>
      <c r="W203" s="792"/>
      <c r="X203" s="792"/>
      <c r="Y203" s="792"/>
    </row>
    <row r="204" spans="1:25" s="4" customFormat="1" ht="120" x14ac:dyDescent="0.3">
      <c r="A204" s="862" t="s">
        <v>411</v>
      </c>
      <c r="B204" s="804" t="s">
        <v>1035</v>
      </c>
      <c r="C204" s="859" t="s">
        <v>1119</v>
      </c>
      <c r="D204" s="714" t="s">
        <v>602</v>
      </c>
      <c r="E204" s="714" t="s">
        <v>52</v>
      </c>
      <c r="F204" s="219" t="s">
        <v>965</v>
      </c>
      <c r="G204" s="257" t="s">
        <v>966</v>
      </c>
      <c r="H204" s="139">
        <v>18034</v>
      </c>
      <c r="I204" s="139">
        <v>15370.1</v>
      </c>
      <c r="J204" s="139">
        <v>16237.3</v>
      </c>
      <c r="K204" s="139">
        <v>16237.3</v>
      </c>
      <c r="L204" s="139">
        <f>K204*1.002</f>
        <v>16269.774599999999</v>
      </c>
      <c r="M204" s="139">
        <f t="shared" ref="M204:T204" si="3">L204*1.002</f>
        <v>16302.3141492</v>
      </c>
      <c r="N204" s="139">
        <f t="shared" si="3"/>
        <v>16334.9187774984</v>
      </c>
      <c r="O204" s="139">
        <f t="shared" si="3"/>
        <v>16367.588615053397</v>
      </c>
      <c r="P204" s="139">
        <f t="shared" si="3"/>
        <v>16400.323792283503</v>
      </c>
      <c r="Q204" s="139">
        <f t="shared" si="3"/>
        <v>16433.124439868072</v>
      </c>
      <c r="R204" s="139">
        <f t="shared" si="3"/>
        <v>16465.990688747806</v>
      </c>
      <c r="S204" s="139">
        <f t="shared" si="3"/>
        <v>16498.922670125303</v>
      </c>
      <c r="T204" s="139">
        <f t="shared" si="3"/>
        <v>16531.920515465554</v>
      </c>
      <c r="U204" s="767">
        <v>8403700.1999999993</v>
      </c>
      <c r="V204" s="765">
        <v>8403700.1999999993</v>
      </c>
      <c r="W204" s="765">
        <v>0</v>
      </c>
      <c r="X204" s="765">
        <v>0</v>
      </c>
      <c r="Y204" s="765">
        <v>0</v>
      </c>
    </row>
    <row r="205" spans="1:25" s="4" customFormat="1" ht="72" x14ac:dyDescent="0.3">
      <c r="A205" s="863"/>
      <c r="B205" s="805"/>
      <c r="C205" s="861"/>
      <c r="D205" s="715"/>
      <c r="E205" s="715"/>
      <c r="F205" s="245" t="s">
        <v>967</v>
      </c>
      <c r="G205" s="257" t="s">
        <v>74</v>
      </c>
      <c r="H205" s="65">
        <v>2953</v>
      </c>
      <c r="I205" s="65">
        <v>2924</v>
      </c>
      <c r="J205" s="65">
        <v>3017</v>
      </c>
      <c r="K205" s="65">
        <v>3046</v>
      </c>
      <c r="L205" s="65">
        <v>3046</v>
      </c>
      <c r="M205" s="65">
        <v>3046</v>
      </c>
      <c r="N205" s="65">
        <v>3046</v>
      </c>
      <c r="O205" s="65">
        <v>3046</v>
      </c>
      <c r="P205" s="65">
        <v>3046</v>
      </c>
      <c r="Q205" s="65">
        <v>3046</v>
      </c>
      <c r="R205" s="65">
        <v>3046</v>
      </c>
      <c r="S205" s="65">
        <v>3046</v>
      </c>
      <c r="T205" s="65">
        <v>3046</v>
      </c>
      <c r="U205" s="768"/>
      <c r="V205" s="766"/>
      <c r="W205" s="766"/>
      <c r="X205" s="766"/>
      <c r="Y205" s="766"/>
    </row>
    <row r="206" spans="1:25" s="4" customFormat="1" ht="121.5" customHeight="1" x14ac:dyDescent="0.3">
      <c r="A206" s="796" t="s">
        <v>412</v>
      </c>
      <c r="B206" s="804" t="s">
        <v>841</v>
      </c>
      <c r="C206" s="859" t="s">
        <v>858</v>
      </c>
      <c r="D206" s="728" t="s">
        <v>1128</v>
      </c>
      <c r="E206" s="728">
        <v>2030</v>
      </c>
      <c r="F206" s="245" t="s">
        <v>414</v>
      </c>
      <c r="G206" s="257" t="s">
        <v>399</v>
      </c>
      <c r="H206" s="244"/>
      <c r="I206" s="244"/>
      <c r="J206" s="244"/>
      <c r="K206" s="244"/>
      <c r="L206" s="244"/>
      <c r="M206" s="244"/>
      <c r="N206" s="244"/>
      <c r="O206" s="244"/>
      <c r="P206" s="244"/>
      <c r="Q206" s="244"/>
      <c r="R206" s="244"/>
      <c r="S206" s="244">
        <v>1</v>
      </c>
      <c r="T206" s="244"/>
      <c r="U206" s="230">
        <v>0</v>
      </c>
      <c r="V206" s="258">
        <v>0</v>
      </c>
      <c r="W206" s="258">
        <v>0</v>
      </c>
      <c r="X206" s="258">
        <v>0</v>
      </c>
      <c r="Y206" s="258">
        <v>0</v>
      </c>
    </row>
    <row r="207" spans="1:25" s="4" customFormat="1" ht="96" x14ac:dyDescent="0.3">
      <c r="A207" s="851"/>
      <c r="B207" s="852"/>
      <c r="C207" s="861"/>
      <c r="D207" s="729"/>
      <c r="E207" s="729"/>
      <c r="F207" s="245" t="s">
        <v>413</v>
      </c>
      <c r="G207" s="257" t="s">
        <v>415</v>
      </c>
      <c r="H207" s="244"/>
      <c r="I207" s="244"/>
      <c r="J207" s="244"/>
      <c r="K207" s="244"/>
      <c r="L207" s="244"/>
      <c r="M207" s="244"/>
      <c r="N207" s="244"/>
      <c r="O207" s="244"/>
      <c r="P207" s="244"/>
      <c r="Q207" s="244"/>
      <c r="R207" s="244"/>
      <c r="S207" s="244"/>
      <c r="T207" s="244">
        <v>94</v>
      </c>
      <c r="U207" s="230">
        <v>0</v>
      </c>
      <c r="V207" s="258">
        <v>0</v>
      </c>
      <c r="W207" s="258">
        <v>0</v>
      </c>
      <c r="X207" s="258">
        <v>0</v>
      </c>
      <c r="Y207" s="258">
        <v>0</v>
      </c>
    </row>
    <row r="208" spans="1:25" s="4" customFormat="1" ht="240" x14ac:dyDescent="0.3">
      <c r="A208" s="241" t="s">
        <v>417</v>
      </c>
      <c r="B208" s="250" t="s">
        <v>1209</v>
      </c>
      <c r="C208" s="250" t="s">
        <v>1210</v>
      </c>
      <c r="D208" s="42" t="s">
        <v>1145</v>
      </c>
      <c r="E208" s="244" t="s">
        <v>418</v>
      </c>
      <c r="F208" s="245" t="s">
        <v>887</v>
      </c>
      <c r="G208" s="244" t="s">
        <v>117</v>
      </c>
      <c r="H208" s="124"/>
      <c r="I208" s="44"/>
      <c r="J208" s="44"/>
      <c r="K208" s="124"/>
      <c r="L208" s="124"/>
      <c r="M208" s="124"/>
      <c r="N208" s="124"/>
      <c r="O208" s="124"/>
      <c r="P208" s="124"/>
      <c r="Q208" s="124"/>
      <c r="R208" s="124"/>
      <c r="S208" s="124"/>
      <c r="T208" s="124" t="s">
        <v>118</v>
      </c>
      <c r="U208" s="230">
        <v>0</v>
      </c>
      <c r="V208" s="258">
        <v>0</v>
      </c>
      <c r="W208" s="258">
        <v>0</v>
      </c>
      <c r="X208" s="258">
        <v>0</v>
      </c>
      <c r="Y208" s="258">
        <v>0</v>
      </c>
    </row>
    <row r="209" spans="1:25" s="4" customFormat="1" ht="144" x14ac:dyDescent="0.3">
      <c r="A209" s="241" t="s">
        <v>419</v>
      </c>
      <c r="B209" s="250" t="s">
        <v>420</v>
      </c>
      <c r="C209" s="250" t="s">
        <v>421</v>
      </c>
      <c r="D209" s="244" t="s">
        <v>422</v>
      </c>
      <c r="E209" s="244" t="s">
        <v>266</v>
      </c>
      <c r="F209" s="777" t="s">
        <v>888</v>
      </c>
      <c r="G209" s="714" t="s">
        <v>889</v>
      </c>
      <c r="H209" s="738">
        <v>152.4</v>
      </c>
      <c r="I209" s="738">
        <v>158.4</v>
      </c>
      <c r="J209" s="738">
        <v>158.4</v>
      </c>
      <c r="K209" s="738">
        <v>158.4</v>
      </c>
      <c r="L209" s="738">
        <v>160.9</v>
      </c>
      <c r="M209" s="738">
        <v>160.9</v>
      </c>
      <c r="N209" s="738">
        <v>160.9</v>
      </c>
      <c r="O209" s="738">
        <v>160.9</v>
      </c>
      <c r="P209" s="738">
        <v>165.9</v>
      </c>
      <c r="Q209" s="738">
        <v>166.7</v>
      </c>
      <c r="R209" s="738">
        <v>166.7</v>
      </c>
      <c r="S209" s="738">
        <v>166.7</v>
      </c>
      <c r="T209" s="738">
        <v>168.7</v>
      </c>
      <c r="U209" s="230">
        <v>50000</v>
      </c>
      <c r="V209" s="258" t="s">
        <v>922</v>
      </c>
      <c r="W209" s="258">
        <v>0</v>
      </c>
      <c r="X209" s="258">
        <v>0</v>
      </c>
      <c r="Y209" s="258">
        <v>0</v>
      </c>
    </row>
    <row r="210" spans="1:25" s="4" customFormat="1" ht="192" x14ac:dyDescent="0.3">
      <c r="A210" s="241" t="s">
        <v>423</v>
      </c>
      <c r="B210" s="248" t="s">
        <v>424</v>
      </c>
      <c r="C210" s="234" t="s">
        <v>425</v>
      </c>
      <c r="D210" s="244" t="s">
        <v>422</v>
      </c>
      <c r="E210" s="244" t="s">
        <v>273</v>
      </c>
      <c r="F210" s="784"/>
      <c r="G210" s="748"/>
      <c r="H210" s="739"/>
      <c r="I210" s="739"/>
      <c r="J210" s="739"/>
      <c r="K210" s="739"/>
      <c r="L210" s="739"/>
      <c r="M210" s="739"/>
      <c r="N210" s="739"/>
      <c r="O210" s="739"/>
      <c r="P210" s="739"/>
      <c r="Q210" s="739"/>
      <c r="R210" s="739"/>
      <c r="S210" s="739"/>
      <c r="T210" s="739"/>
      <c r="U210" s="230">
        <v>129706.8</v>
      </c>
      <c r="V210" s="258" t="s">
        <v>921</v>
      </c>
      <c r="W210" s="258">
        <v>0</v>
      </c>
      <c r="X210" s="258">
        <v>0</v>
      </c>
      <c r="Y210" s="258">
        <v>0</v>
      </c>
    </row>
    <row r="211" spans="1:25" s="4" customFormat="1" ht="144" x14ac:dyDescent="0.3">
      <c r="A211" s="241" t="s">
        <v>426</v>
      </c>
      <c r="B211" s="248" t="s">
        <v>427</v>
      </c>
      <c r="C211" s="234" t="s">
        <v>428</v>
      </c>
      <c r="D211" s="244" t="s">
        <v>422</v>
      </c>
      <c r="E211" s="244" t="s">
        <v>266</v>
      </c>
      <c r="F211" s="784"/>
      <c r="G211" s="748"/>
      <c r="H211" s="739"/>
      <c r="I211" s="739"/>
      <c r="J211" s="739"/>
      <c r="K211" s="739"/>
      <c r="L211" s="739"/>
      <c r="M211" s="739"/>
      <c r="N211" s="739"/>
      <c r="O211" s="739"/>
      <c r="P211" s="739"/>
      <c r="Q211" s="739"/>
      <c r="R211" s="739"/>
      <c r="S211" s="739"/>
      <c r="T211" s="739"/>
      <c r="U211" s="230">
        <v>71629.7</v>
      </c>
      <c r="V211" s="258" t="s">
        <v>920</v>
      </c>
      <c r="W211" s="258">
        <v>0</v>
      </c>
      <c r="X211" s="258">
        <v>0</v>
      </c>
      <c r="Y211" s="258">
        <v>0</v>
      </c>
    </row>
    <row r="212" spans="1:25" s="4" customFormat="1" ht="144" x14ac:dyDescent="0.3">
      <c r="A212" s="241" t="s">
        <v>429</v>
      </c>
      <c r="B212" s="248" t="s">
        <v>430</v>
      </c>
      <c r="C212" s="234" t="s">
        <v>431</v>
      </c>
      <c r="D212" s="244" t="s">
        <v>422</v>
      </c>
      <c r="E212" s="244" t="s">
        <v>1416</v>
      </c>
      <c r="F212" s="784"/>
      <c r="G212" s="748"/>
      <c r="H212" s="739"/>
      <c r="I212" s="739"/>
      <c r="J212" s="739"/>
      <c r="K212" s="739"/>
      <c r="L212" s="739"/>
      <c r="M212" s="739"/>
      <c r="N212" s="739"/>
      <c r="O212" s="739"/>
      <c r="P212" s="739"/>
      <c r="Q212" s="739"/>
      <c r="R212" s="739"/>
      <c r="S212" s="739"/>
      <c r="T212" s="739"/>
      <c r="U212" s="230">
        <v>309500</v>
      </c>
      <c r="V212" s="258" t="s">
        <v>919</v>
      </c>
      <c r="W212" s="258">
        <v>0</v>
      </c>
      <c r="X212" s="258">
        <v>0</v>
      </c>
      <c r="Y212" s="258">
        <v>0</v>
      </c>
    </row>
    <row r="213" spans="1:25" s="4" customFormat="1" ht="192" x14ac:dyDescent="0.3">
      <c r="A213" s="241" t="s">
        <v>432</v>
      </c>
      <c r="B213" s="248" t="s">
        <v>433</v>
      </c>
      <c r="C213" s="234" t="s">
        <v>434</v>
      </c>
      <c r="D213" s="244" t="s">
        <v>422</v>
      </c>
      <c r="E213" s="244" t="s">
        <v>266</v>
      </c>
      <c r="F213" s="784"/>
      <c r="G213" s="748"/>
      <c r="H213" s="739"/>
      <c r="I213" s="739"/>
      <c r="J213" s="739"/>
      <c r="K213" s="739"/>
      <c r="L213" s="739"/>
      <c r="M213" s="739"/>
      <c r="N213" s="739"/>
      <c r="O213" s="739"/>
      <c r="P213" s="739"/>
      <c r="Q213" s="739"/>
      <c r="R213" s="739"/>
      <c r="S213" s="739"/>
      <c r="T213" s="739"/>
      <c r="U213" s="230">
        <v>46000</v>
      </c>
      <c r="V213" s="258">
        <v>0</v>
      </c>
      <c r="W213" s="258">
        <v>0</v>
      </c>
      <c r="X213" s="258">
        <v>0</v>
      </c>
      <c r="Y213" s="258">
        <v>46000</v>
      </c>
    </row>
    <row r="214" spans="1:25" s="4" customFormat="1" ht="144" x14ac:dyDescent="0.3">
      <c r="A214" s="241" t="s">
        <v>435</v>
      </c>
      <c r="B214" s="248" t="s">
        <v>436</v>
      </c>
      <c r="C214" s="234" t="s">
        <v>437</v>
      </c>
      <c r="D214" s="244" t="s">
        <v>422</v>
      </c>
      <c r="E214" s="244" t="s">
        <v>273</v>
      </c>
      <c r="F214" s="784"/>
      <c r="G214" s="748"/>
      <c r="H214" s="739"/>
      <c r="I214" s="739"/>
      <c r="J214" s="739"/>
      <c r="K214" s="739"/>
      <c r="L214" s="739"/>
      <c r="M214" s="739"/>
      <c r="N214" s="739"/>
      <c r="O214" s="739"/>
      <c r="P214" s="739"/>
      <c r="Q214" s="739"/>
      <c r="R214" s="739"/>
      <c r="S214" s="739"/>
      <c r="T214" s="739"/>
      <c r="U214" s="230">
        <v>86779.6</v>
      </c>
      <c r="V214" s="258" t="s">
        <v>917</v>
      </c>
      <c r="W214" s="258">
        <v>0</v>
      </c>
      <c r="X214" s="258">
        <v>0</v>
      </c>
      <c r="Y214" s="258">
        <v>0</v>
      </c>
    </row>
    <row r="215" spans="1:25" s="4" customFormat="1" ht="144" x14ac:dyDescent="0.3">
      <c r="A215" s="241" t="s">
        <v>438</v>
      </c>
      <c r="B215" s="248" t="s">
        <v>871</v>
      </c>
      <c r="C215" s="234" t="s">
        <v>439</v>
      </c>
      <c r="D215" s="244" t="s">
        <v>422</v>
      </c>
      <c r="E215" s="244" t="s">
        <v>273</v>
      </c>
      <c r="F215" s="784"/>
      <c r="G215" s="748"/>
      <c r="H215" s="739"/>
      <c r="I215" s="739"/>
      <c r="J215" s="739"/>
      <c r="K215" s="739"/>
      <c r="L215" s="739"/>
      <c r="M215" s="739"/>
      <c r="N215" s="739"/>
      <c r="O215" s="739"/>
      <c r="P215" s="739"/>
      <c r="Q215" s="739"/>
      <c r="R215" s="739"/>
      <c r="S215" s="739"/>
      <c r="T215" s="739"/>
      <c r="U215" s="230">
        <v>281907.3</v>
      </c>
      <c r="V215" s="258" t="s">
        <v>918</v>
      </c>
      <c r="W215" s="258">
        <v>0</v>
      </c>
      <c r="X215" s="258">
        <v>0</v>
      </c>
      <c r="Y215" s="258">
        <v>0</v>
      </c>
    </row>
    <row r="216" spans="1:25" s="4" customFormat="1" ht="144" x14ac:dyDescent="0.3">
      <c r="A216" s="241" t="s">
        <v>440</v>
      </c>
      <c r="B216" s="248" t="s">
        <v>441</v>
      </c>
      <c r="C216" s="234" t="s">
        <v>439</v>
      </c>
      <c r="D216" s="244" t="s">
        <v>422</v>
      </c>
      <c r="E216" s="244" t="s">
        <v>330</v>
      </c>
      <c r="F216" s="784"/>
      <c r="G216" s="748"/>
      <c r="H216" s="739"/>
      <c r="I216" s="739"/>
      <c r="J216" s="739"/>
      <c r="K216" s="739"/>
      <c r="L216" s="739"/>
      <c r="M216" s="739"/>
      <c r="N216" s="739"/>
      <c r="O216" s="739"/>
      <c r="P216" s="739"/>
      <c r="Q216" s="739"/>
      <c r="R216" s="739"/>
      <c r="S216" s="739"/>
      <c r="T216" s="739"/>
      <c r="U216" s="230">
        <v>200000</v>
      </c>
      <c r="V216" s="258" t="s">
        <v>916</v>
      </c>
      <c r="W216" s="258">
        <v>0</v>
      </c>
      <c r="X216" s="258">
        <v>0</v>
      </c>
      <c r="Y216" s="258">
        <v>0</v>
      </c>
    </row>
    <row r="217" spans="1:25" s="4" customFormat="1" ht="192" x14ac:dyDescent="0.3">
      <c r="A217" s="241" t="s">
        <v>442</v>
      </c>
      <c r="B217" s="248" t="s">
        <v>443</v>
      </c>
      <c r="C217" s="234" t="s">
        <v>444</v>
      </c>
      <c r="D217" s="244" t="s">
        <v>422</v>
      </c>
      <c r="E217" s="244" t="s">
        <v>333</v>
      </c>
      <c r="F217" s="784"/>
      <c r="G217" s="748"/>
      <c r="H217" s="739"/>
      <c r="I217" s="739"/>
      <c r="J217" s="739"/>
      <c r="K217" s="739"/>
      <c r="L217" s="739"/>
      <c r="M217" s="739"/>
      <c r="N217" s="739"/>
      <c r="O217" s="739"/>
      <c r="P217" s="739"/>
      <c r="Q217" s="739"/>
      <c r="R217" s="739"/>
      <c r="S217" s="739"/>
      <c r="T217" s="739"/>
      <c r="U217" s="230">
        <v>146000</v>
      </c>
      <c r="V217" s="258" t="s">
        <v>915</v>
      </c>
      <c r="W217" s="258">
        <v>0</v>
      </c>
      <c r="X217" s="258">
        <v>0</v>
      </c>
      <c r="Y217" s="258">
        <v>0</v>
      </c>
    </row>
    <row r="218" spans="1:25" s="4" customFormat="1" ht="144" x14ac:dyDescent="0.3">
      <c r="A218" s="241" t="s">
        <v>445</v>
      </c>
      <c r="B218" s="248" t="s">
        <v>446</v>
      </c>
      <c r="C218" s="234" t="s">
        <v>447</v>
      </c>
      <c r="D218" s="244" t="s">
        <v>422</v>
      </c>
      <c r="E218" s="244" t="s">
        <v>41</v>
      </c>
      <c r="F218" s="784"/>
      <c r="G218" s="748"/>
      <c r="H218" s="739"/>
      <c r="I218" s="739"/>
      <c r="J218" s="739"/>
      <c r="K218" s="739"/>
      <c r="L218" s="739"/>
      <c r="M218" s="739"/>
      <c r="N218" s="739"/>
      <c r="O218" s="739"/>
      <c r="P218" s="739"/>
      <c r="Q218" s="739"/>
      <c r="R218" s="739"/>
      <c r="S218" s="739"/>
      <c r="T218" s="739"/>
      <c r="U218" s="230">
        <v>1080000</v>
      </c>
      <c r="V218" s="258" t="s">
        <v>914</v>
      </c>
      <c r="W218" s="258">
        <v>0</v>
      </c>
      <c r="X218" s="258">
        <v>0</v>
      </c>
      <c r="Y218" s="258">
        <v>0</v>
      </c>
    </row>
    <row r="219" spans="1:25" s="4" customFormat="1" ht="144" x14ac:dyDescent="0.3">
      <c r="A219" s="241" t="s">
        <v>448</v>
      </c>
      <c r="B219" s="248" t="s">
        <v>872</v>
      </c>
      <c r="C219" s="234" t="s">
        <v>1327</v>
      </c>
      <c r="D219" s="244" t="s">
        <v>422</v>
      </c>
      <c r="E219" s="244">
        <v>2027</v>
      </c>
      <c r="F219" s="784"/>
      <c r="G219" s="748"/>
      <c r="H219" s="739"/>
      <c r="I219" s="739"/>
      <c r="J219" s="739"/>
      <c r="K219" s="739"/>
      <c r="L219" s="739"/>
      <c r="M219" s="739"/>
      <c r="N219" s="739"/>
      <c r="O219" s="739"/>
      <c r="P219" s="739"/>
      <c r="Q219" s="739"/>
      <c r="R219" s="739"/>
      <c r="S219" s="739"/>
      <c r="T219" s="739"/>
      <c r="U219" s="230">
        <v>245000</v>
      </c>
      <c r="V219" s="258" t="s">
        <v>913</v>
      </c>
      <c r="W219" s="258">
        <v>0</v>
      </c>
      <c r="X219" s="258">
        <v>0</v>
      </c>
      <c r="Y219" s="258">
        <v>0</v>
      </c>
    </row>
    <row r="220" spans="1:25" s="4" customFormat="1" ht="144" x14ac:dyDescent="0.3">
      <c r="A220" s="241" t="s">
        <v>449</v>
      </c>
      <c r="B220" s="248" t="s">
        <v>450</v>
      </c>
      <c r="C220" s="234" t="s">
        <v>451</v>
      </c>
      <c r="D220" s="244" t="s">
        <v>422</v>
      </c>
      <c r="E220" s="244" t="s">
        <v>416</v>
      </c>
      <c r="F220" s="784"/>
      <c r="G220" s="748"/>
      <c r="H220" s="739"/>
      <c r="I220" s="739"/>
      <c r="J220" s="739"/>
      <c r="K220" s="739"/>
      <c r="L220" s="739"/>
      <c r="M220" s="739"/>
      <c r="N220" s="739"/>
      <c r="O220" s="739"/>
      <c r="P220" s="739"/>
      <c r="Q220" s="739"/>
      <c r="R220" s="739"/>
      <c r="S220" s="739"/>
      <c r="T220" s="739"/>
      <c r="U220" s="230">
        <v>625000</v>
      </c>
      <c r="V220" s="258" t="s">
        <v>912</v>
      </c>
      <c r="W220" s="258">
        <v>0</v>
      </c>
      <c r="X220" s="258">
        <v>0</v>
      </c>
      <c r="Y220" s="258">
        <v>0</v>
      </c>
    </row>
    <row r="221" spans="1:25" s="4" customFormat="1" ht="192" x14ac:dyDescent="0.3">
      <c r="A221" s="241" t="s">
        <v>452</v>
      </c>
      <c r="B221" s="248" t="s">
        <v>453</v>
      </c>
      <c r="C221" s="234" t="s">
        <v>454</v>
      </c>
      <c r="D221" s="244" t="s">
        <v>422</v>
      </c>
      <c r="E221" s="244" t="s">
        <v>455</v>
      </c>
      <c r="F221" s="784"/>
      <c r="G221" s="748"/>
      <c r="H221" s="739"/>
      <c r="I221" s="739"/>
      <c r="J221" s="739"/>
      <c r="K221" s="739"/>
      <c r="L221" s="739"/>
      <c r="M221" s="739"/>
      <c r="N221" s="739"/>
      <c r="O221" s="739"/>
      <c r="P221" s="739"/>
      <c r="Q221" s="739"/>
      <c r="R221" s="739"/>
      <c r="S221" s="739"/>
      <c r="T221" s="739"/>
      <c r="U221" s="230">
        <v>590000</v>
      </c>
      <c r="V221" s="258" t="s">
        <v>911</v>
      </c>
      <c r="W221" s="258">
        <v>0</v>
      </c>
      <c r="X221" s="258">
        <v>0</v>
      </c>
      <c r="Y221" s="258">
        <v>0</v>
      </c>
    </row>
    <row r="222" spans="1:25" s="4" customFormat="1" ht="168" x14ac:dyDescent="0.3">
      <c r="A222" s="241" t="s">
        <v>892</v>
      </c>
      <c r="B222" s="248" t="s">
        <v>456</v>
      </c>
      <c r="C222" s="234" t="s">
        <v>457</v>
      </c>
      <c r="D222" s="244" t="s">
        <v>422</v>
      </c>
      <c r="E222" s="244" t="s">
        <v>1213</v>
      </c>
      <c r="F222" s="778"/>
      <c r="G222" s="715"/>
      <c r="H222" s="740"/>
      <c r="I222" s="740"/>
      <c r="J222" s="740"/>
      <c r="K222" s="740"/>
      <c r="L222" s="740"/>
      <c r="M222" s="740"/>
      <c r="N222" s="740"/>
      <c r="O222" s="740"/>
      <c r="P222" s="740"/>
      <c r="Q222" s="740"/>
      <c r="R222" s="740"/>
      <c r="S222" s="740"/>
      <c r="T222" s="740"/>
      <c r="U222" s="230">
        <v>829000</v>
      </c>
      <c r="V222" s="258">
        <v>0</v>
      </c>
      <c r="W222" s="258">
        <v>0</v>
      </c>
      <c r="X222" s="258">
        <v>0</v>
      </c>
      <c r="Y222" s="258">
        <v>829000</v>
      </c>
    </row>
    <row r="223" spans="1:25" s="4" customFormat="1" ht="144" x14ac:dyDescent="0.3">
      <c r="A223" s="241" t="s">
        <v>1099</v>
      </c>
      <c r="B223" s="242" t="s">
        <v>948</v>
      </c>
      <c r="C223" s="243" t="s">
        <v>1328</v>
      </c>
      <c r="D223" s="244" t="s">
        <v>422</v>
      </c>
      <c r="E223" s="244" t="s">
        <v>949</v>
      </c>
      <c r="F223" s="245" t="s">
        <v>968</v>
      </c>
      <c r="G223" s="257" t="s">
        <v>889</v>
      </c>
      <c r="H223" s="124"/>
      <c r="I223" s="124">
        <v>4.4000000000000004</v>
      </c>
      <c r="J223" s="124"/>
      <c r="K223" s="124"/>
      <c r="L223" s="124"/>
      <c r="M223" s="124"/>
      <c r="N223" s="124"/>
      <c r="O223" s="124"/>
      <c r="P223" s="124"/>
      <c r="Q223" s="124"/>
      <c r="R223" s="124"/>
      <c r="S223" s="124"/>
      <c r="T223" s="124"/>
      <c r="U223" s="230">
        <v>183614.6</v>
      </c>
      <c r="V223" s="258" t="s">
        <v>988</v>
      </c>
      <c r="W223" s="258">
        <v>0</v>
      </c>
      <c r="X223" s="258">
        <v>0</v>
      </c>
      <c r="Y223" s="258">
        <v>0</v>
      </c>
    </row>
    <row r="224" spans="1:25" s="4" customFormat="1" ht="216" x14ac:dyDescent="0.3">
      <c r="A224" s="241" t="s">
        <v>950</v>
      </c>
      <c r="B224" s="242" t="s">
        <v>890</v>
      </c>
      <c r="C224" s="243" t="s">
        <v>891</v>
      </c>
      <c r="D224" s="244" t="s">
        <v>422</v>
      </c>
      <c r="E224" s="244" t="s">
        <v>52</v>
      </c>
      <c r="F224" s="245" t="s">
        <v>893</v>
      </c>
      <c r="G224" s="257" t="s">
        <v>62</v>
      </c>
      <c r="H224" s="124">
        <v>52.8</v>
      </c>
      <c r="I224" s="124">
        <v>72</v>
      </c>
      <c r="J224" s="124">
        <v>74.7</v>
      </c>
      <c r="K224" s="124">
        <v>77.7</v>
      </c>
      <c r="L224" s="124">
        <v>80</v>
      </c>
      <c r="M224" s="124">
        <v>80</v>
      </c>
      <c r="N224" s="124">
        <v>80</v>
      </c>
      <c r="O224" s="124">
        <v>80</v>
      </c>
      <c r="P224" s="124">
        <v>84</v>
      </c>
      <c r="Q224" s="124">
        <v>88</v>
      </c>
      <c r="R224" s="124">
        <v>93</v>
      </c>
      <c r="S224" s="124">
        <v>97</v>
      </c>
      <c r="T224" s="124">
        <v>100</v>
      </c>
      <c r="U224" s="230">
        <v>23028863.800000001</v>
      </c>
      <c r="V224" s="258" t="s">
        <v>1429</v>
      </c>
      <c r="W224" s="258">
        <v>12085405.199999999</v>
      </c>
      <c r="X224" s="258">
        <v>0</v>
      </c>
      <c r="Y224" s="258">
        <v>1320000</v>
      </c>
    </row>
    <row r="225" spans="1:25" s="4" customFormat="1" ht="168" x14ac:dyDescent="0.3">
      <c r="A225" s="241" t="s">
        <v>1100</v>
      </c>
      <c r="B225" s="242" t="s">
        <v>952</v>
      </c>
      <c r="C225" s="243" t="s">
        <v>1329</v>
      </c>
      <c r="D225" s="244" t="s">
        <v>422</v>
      </c>
      <c r="E225" s="244" t="s">
        <v>152</v>
      </c>
      <c r="F225" s="245" t="s">
        <v>951</v>
      </c>
      <c r="G225" s="257" t="s">
        <v>62</v>
      </c>
      <c r="H225" s="124" t="s">
        <v>140</v>
      </c>
      <c r="I225" s="124">
        <v>100</v>
      </c>
      <c r="J225" s="124">
        <v>100</v>
      </c>
      <c r="K225" s="124">
        <v>100</v>
      </c>
      <c r="L225" s="124"/>
      <c r="M225" s="124"/>
      <c r="N225" s="124"/>
      <c r="O225" s="124"/>
      <c r="P225" s="124"/>
      <c r="Q225" s="124"/>
      <c r="R225" s="124"/>
      <c r="S225" s="124"/>
      <c r="T225" s="124"/>
      <c r="U225" s="230">
        <v>39090.6</v>
      </c>
      <c r="V225" s="227" t="s">
        <v>1238</v>
      </c>
      <c r="W225" s="258">
        <v>0</v>
      </c>
      <c r="X225" s="258">
        <v>0</v>
      </c>
      <c r="Y225" s="258">
        <v>0</v>
      </c>
    </row>
    <row r="226" spans="1:25" ht="24" x14ac:dyDescent="0.3">
      <c r="A226" s="67" t="s">
        <v>458</v>
      </c>
      <c r="B226" s="946" t="s">
        <v>459</v>
      </c>
      <c r="C226" s="946"/>
      <c r="D226" s="946"/>
      <c r="E226" s="946"/>
      <c r="F226" s="946"/>
      <c r="G226" s="946"/>
      <c r="H226" s="946"/>
      <c r="I226" s="946"/>
      <c r="J226" s="946"/>
      <c r="K226" s="946"/>
      <c r="L226" s="946"/>
      <c r="M226" s="946"/>
      <c r="N226" s="946"/>
      <c r="O226" s="946"/>
      <c r="P226" s="946"/>
      <c r="Q226" s="946"/>
      <c r="R226" s="946"/>
      <c r="S226" s="946"/>
      <c r="T226" s="946"/>
      <c r="U226" s="56"/>
      <c r="V226" s="57"/>
      <c r="W226" s="57"/>
      <c r="X226" s="57"/>
      <c r="Y226" s="57"/>
    </row>
    <row r="227" spans="1:25" ht="24" x14ac:dyDescent="0.3">
      <c r="A227" s="66" t="s">
        <v>460</v>
      </c>
      <c r="B227" s="945" t="s">
        <v>461</v>
      </c>
      <c r="C227" s="945"/>
      <c r="D227" s="945"/>
      <c r="E227" s="945"/>
      <c r="F227" s="945"/>
      <c r="G227" s="945"/>
      <c r="H227" s="945"/>
      <c r="I227" s="945"/>
      <c r="J227" s="945"/>
      <c r="K227" s="945"/>
      <c r="L227" s="945"/>
      <c r="M227" s="945"/>
      <c r="N227" s="945"/>
      <c r="O227" s="945"/>
      <c r="P227" s="945"/>
      <c r="Q227" s="945"/>
      <c r="R227" s="945"/>
      <c r="S227" s="945"/>
      <c r="T227" s="945"/>
      <c r="U227" s="51"/>
      <c r="V227" s="52"/>
      <c r="W227" s="52"/>
      <c r="X227" s="52"/>
      <c r="Y227" s="52"/>
    </row>
    <row r="228" spans="1:25" s="4" customFormat="1" ht="120" x14ac:dyDescent="0.3">
      <c r="A228" s="253" t="s">
        <v>462</v>
      </c>
      <c r="B228" s="242" t="s">
        <v>464</v>
      </c>
      <c r="C228" s="243" t="s">
        <v>1168</v>
      </c>
      <c r="D228" s="244" t="s">
        <v>28</v>
      </c>
      <c r="E228" s="244" t="s">
        <v>463</v>
      </c>
      <c r="F228" s="817" t="s">
        <v>1073</v>
      </c>
      <c r="G228" s="871" t="s">
        <v>1074</v>
      </c>
      <c r="H228" s="871" t="s">
        <v>1171</v>
      </c>
      <c r="I228" s="871" t="s">
        <v>1172</v>
      </c>
      <c r="J228" s="871" t="s">
        <v>1172</v>
      </c>
      <c r="K228" s="871" t="s">
        <v>1172</v>
      </c>
      <c r="L228" s="871" t="s">
        <v>1173</v>
      </c>
      <c r="M228" s="871" t="s">
        <v>1174</v>
      </c>
      <c r="N228" s="871" t="s">
        <v>1175</v>
      </c>
      <c r="O228" s="871" t="s">
        <v>1176</v>
      </c>
      <c r="P228" s="871" t="s">
        <v>1177</v>
      </c>
      <c r="Q228" s="871" t="s">
        <v>1178</v>
      </c>
      <c r="R228" s="871" t="s">
        <v>1179</v>
      </c>
      <c r="S228" s="871" t="s">
        <v>1180</v>
      </c>
      <c r="T228" s="871" t="s">
        <v>1415</v>
      </c>
      <c r="U228" s="230">
        <v>1011015.4</v>
      </c>
      <c r="V228" s="258">
        <v>0</v>
      </c>
      <c r="W228" s="258">
        <v>0</v>
      </c>
      <c r="X228" s="258">
        <v>0</v>
      </c>
      <c r="Y228" s="258">
        <v>11015.4</v>
      </c>
    </row>
    <row r="229" spans="1:25" s="4" customFormat="1" ht="124.5" customHeight="1" x14ac:dyDescent="0.3">
      <c r="A229" s="253" t="s">
        <v>472</v>
      </c>
      <c r="B229" s="242" t="s">
        <v>465</v>
      </c>
      <c r="C229" s="243" t="s">
        <v>869</v>
      </c>
      <c r="D229" s="244" t="s">
        <v>28</v>
      </c>
      <c r="E229" s="244" t="s">
        <v>463</v>
      </c>
      <c r="F229" s="868"/>
      <c r="G229" s="872"/>
      <c r="H229" s="872"/>
      <c r="I229" s="872"/>
      <c r="J229" s="872"/>
      <c r="K229" s="872"/>
      <c r="L229" s="872"/>
      <c r="M229" s="872"/>
      <c r="N229" s="872"/>
      <c r="O229" s="872"/>
      <c r="P229" s="872"/>
      <c r="Q229" s="872"/>
      <c r="R229" s="872"/>
      <c r="S229" s="872"/>
      <c r="T229" s="872"/>
      <c r="U229" s="230">
        <v>9000000</v>
      </c>
      <c r="V229" s="258">
        <v>0</v>
      </c>
      <c r="W229" s="258">
        <v>0</v>
      </c>
      <c r="X229" s="258">
        <v>0</v>
      </c>
      <c r="Y229" s="258">
        <v>0</v>
      </c>
    </row>
    <row r="230" spans="1:25" s="4" customFormat="1" ht="96" x14ac:dyDescent="0.3">
      <c r="A230" s="253" t="s">
        <v>473</v>
      </c>
      <c r="B230" s="248" t="s">
        <v>466</v>
      </c>
      <c r="C230" s="248" t="s">
        <v>467</v>
      </c>
      <c r="D230" s="244" t="s">
        <v>468</v>
      </c>
      <c r="E230" s="244" t="s">
        <v>469</v>
      </c>
      <c r="F230" s="868"/>
      <c r="G230" s="872"/>
      <c r="H230" s="872"/>
      <c r="I230" s="872"/>
      <c r="J230" s="872"/>
      <c r="K230" s="872"/>
      <c r="L230" s="872"/>
      <c r="M230" s="872"/>
      <c r="N230" s="872"/>
      <c r="O230" s="872"/>
      <c r="P230" s="872"/>
      <c r="Q230" s="872"/>
      <c r="R230" s="872"/>
      <c r="S230" s="872"/>
      <c r="T230" s="872"/>
      <c r="U230" s="230">
        <v>0</v>
      </c>
      <c r="V230" s="258">
        <v>0</v>
      </c>
      <c r="W230" s="258">
        <v>0</v>
      </c>
      <c r="X230" s="258">
        <v>0</v>
      </c>
      <c r="Y230" s="258">
        <v>0</v>
      </c>
    </row>
    <row r="231" spans="1:25" s="4" customFormat="1" ht="96" x14ac:dyDescent="0.3">
      <c r="A231" s="253" t="s">
        <v>476</v>
      </c>
      <c r="B231" s="248" t="s">
        <v>470</v>
      </c>
      <c r="C231" s="248" t="s">
        <v>471</v>
      </c>
      <c r="D231" s="244" t="s">
        <v>468</v>
      </c>
      <c r="E231" s="244" t="s">
        <v>469</v>
      </c>
      <c r="F231" s="818"/>
      <c r="G231" s="873"/>
      <c r="H231" s="873"/>
      <c r="I231" s="873"/>
      <c r="J231" s="873"/>
      <c r="K231" s="873"/>
      <c r="L231" s="873"/>
      <c r="M231" s="873"/>
      <c r="N231" s="873"/>
      <c r="O231" s="873"/>
      <c r="P231" s="873"/>
      <c r="Q231" s="873"/>
      <c r="R231" s="873"/>
      <c r="S231" s="873"/>
      <c r="T231" s="873"/>
      <c r="U231" s="230">
        <v>0</v>
      </c>
      <c r="V231" s="258">
        <v>0</v>
      </c>
      <c r="W231" s="258">
        <v>0</v>
      </c>
      <c r="X231" s="258">
        <v>0</v>
      </c>
      <c r="Y231" s="258">
        <v>0</v>
      </c>
    </row>
    <row r="232" spans="1:25" s="4" customFormat="1" ht="75" customHeight="1" x14ac:dyDescent="0.3">
      <c r="A232" s="844" t="s">
        <v>491</v>
      </c>
      <c r="B232" s="839" t="s">
        <v>474</v>
      </c>
      <c r="C232" s="859" t="s">
        <v>1036</v>
      </c>
      <c r="D232" s="728" t="s">
        <v>1146</v>
      </c>
      <c r="E232" s="714" t="s">
        <v>483</v>
      </c>
      <c r="F232" s="245" t="s">
        <v>475</v>
      </c>
      <c r="G232" s="244" t="s">
        <v>342</v>
      </c>
      <c r="H232" s="224"/>
      <c r="I232" s="224"/>
      <c r="J232" s="224"/>
      <c r="K232" s="224"/>
      <c r="L232" s="224"/>
      <c r="M232" s="224">
        <v>1</v>
      </c>
      <c r="N232" s="224"/>
      <c r="O232" s="224"/>
      <c r="P232" s="224"/>
      <c r="Q232" s="224"/>
      <c r="R232" s="224"/>
      <c r="S232" s="224"/>
      <c r="T232" s="224"/>
      <c r="U232" s="773">
        <v>130000</v>
      </c>
      <c r="V232" s="791">
        <v>0</v>
      </c>
      <c r="W232" s="791">
        <v>0</v>
      </c>
      <c r="X232" s="791">
        <v>0</v>
      </c>
      <c r="Y232" s="791">
        <v>0</v>
      </c>
    </row>
    <row r="233" spans="1:25" s="4" customFormat="1" ht="85.5" customHeight="1" x14ac:dyDescent="0.3">
      <c r="A233" s="845"/>
      <c r="B233" s="840"/>
      <c r="C233" s="861"/>
      <c r="D233" s="729"/>
      <c r="E233" s="715"/>
      <c r="F233" s="245" t="s">
        <v>480</v>
      </c>
      <c r="G233" s="43" t="s">
        <v>342</v>
      </c>
      <c r="H233" s="43"/>
      <c r="I233" s="80"/>
      <c r="J233" s="43"/>
      <c r="K233" s="43"/>
      <c r="L233" s="43"/>
      <c r="M233" s="43">
        <v>33</v>
      </c>
      <c r="N233" s="43">
        <v>33</v>
      </c>
      <c r="O233" s="43">
        <v>33</v>
      </c>
      <c r="P233" s="43">
        <v>33</v>
      </c>
      <c r="Q233" s="43">
        <v>33</v>
      </c>
      <c r="R233" s="43">
        <v>33</v>
      </c>
      <c r="S233" s="43">
        <v>33</v>
      </c>
      <c r="T233" s="43">
        <v>33</v>
      </c>
      <c r="U233" s="774"/>
      <c r="V233" s="792"/>
      <c r="W233" s="792"/>
      <c r="X233" s="792"/>
      <c r="Y233" s="792"/>
    </row>
    <row r="234" spans="1:25" s="4" customFormat="1" ht="120" x14ac:dyDescent="0.3">
      <c r="A234" s="253" t="s">
        <v>492</v>
      </c>
      <c r="B234" s="251" t="s">
        <v>477</v>
      </c>
      <c r="C234" s="243" t="s">
        <v>1331</v>
      </c>
      <c r="D234" s="257" t="s">
        <v>1146</v>
      </c>
      <c r="E234" s="244" t="s">
        <v>1214</v>
      </c>
      <c r="F234" s="245" t="s">
        <v>478</v>
      </c>
      <c r="G234" s="257" t="s">
        <v>479</v>
      </c>
      <c r="H234" s="257">
        <v>860</v>
      </c>
      <c r="I234" s="257">
        <v>88</v>
      </c>
      <c r="J234" s="257">
        <v>103</v>
      </c>
      <c r="K234" s="257">
        <v>45</v>
      </c>
      <c r="L234" s="257">
        <v>45</v>
      </c>
      <c r="M234" s="257">
        <v>45</v>
      </c>
      <c r="N234" s="257">
        <v>45</v>
      </c>
      <c r="O234" s="257">
        <v>45</v>
      </c>
      <c r="P234" s="257">
        <v>45</v>
      </c>
      <c r="Q234" s="257">
        <v>45</v>
      </c>
      <c r="R234" s="257">
        <v>45</v>
      </c>
      <c r="S234" s="257">
        <v>45</v>
      </c>
      <c r="T234" s="257">
        <v>45</v>
      </c>
      <c r="U234" s="230">
        <v>3872683.600000001</v>
      </c>
      <c r="V234" s="258">
        <v>1359</v>
      </c>
      <c r="W234" s="258">
        <v>1358775.7</v>
      </c>
      <c r="X234" s="258">
        <v>0</v>
      </c>
      <c r="Y234" s="258">
        <v>0</v>
      </c>
    </row>
    <row r="235" spans="1:25" s="4" customFormat="1" ht="96" x14ac:dyDescent="0.3">
      <c r="A235" s="253" t="s">
        <v>1101</v>
      </c>
      <c r="B235" s="243" t="s">
        <v>481</v>
      </c>
      <c r="C235" s="243" t="s">
        <v>1332</v>
      </c>
      <c r="D235" s="257" t="s">
        <v>482</v>
      </c>
      <c r="E235" s="257" t="s">
        <v>483</v>
      </c>
      <c r="F235" s="245" t="s">
        <v>484</v>
      </c>
      <c r="G235" s="257" t="s">
        <v>485</v>
      </c>
      <c r="H235" s="257">
        <v>296</v>
      </c>
      <c r="I235" s="209"/>
      <c r="J235" s="209"/>
      <c r="K235" s="209"/>
      <c r="L235" s="209"/>
      <c r="M235" s="257">
        <v>40</v>
      </c>
      <c r="N235" s="257">
        <v>32</v>
      </c>
      <c r="O235" s="257">
        <v>19</v>
      </c>
      <c r="P235" s="257">
        <v>32</v>
      </c>
      <c r="Q235" s="257">
        <v>20</v>
      </c>
      <c r="R235" s="257">
        <v>50</v>
      </c>
      <c r="S235" s="257">
        <v>50</v>
      </c>
      <c r="T235" s="257">
        <v>53</v>
      </c>
      <c r="U235" s="230">
        <v>479598</v>
      </c>
      <c r="V235" s="258">
        <v>0</v>
      </c>
      <c r="W235" s="258">
        <v>0</v>
      </c>
      <c r="X235" s="258">
        <v>0</v>
      </c>
      <c r="Y235" s="258">
        <v>0</v>
      </c>
    </row>
    <row r="236" spans="1:25" s="4" customFormat="1" ht="72" x14ac:dyDescent="0.3">
      <c r="A236" s="844" t="s">
        <v>824</v>
      </c>
      <c r="B236" s="859" t="s">
        <v>870</v>
      </c>
      <c r="C236" s="859" t="s">
        <v>1333</v>
      </c>
      <c r="D236" s="728" t="s">
        <v>486</v>
      </c>
      <c r="E236" s="728" t="s">
        <v>52</v>
      </c>
      <c r="F236" s="245" t="s">
        <v>487</v>
      </c>
      <c r="G236" s="257" t="s">
        <v>488</v>
      </c>
      <c r="H236" s="257">
        <v>854</v>
      </c>
      <c r="I236" s="257">
        <v>104</v>
      </c>
      <c r="J236" s="257">
        <v>0</v>
      </c>
      <c r="K236" s="257">
        <v>44</v>
      </c>
      <c r="L236" s="257">
        <v>61</v>
      </c>
      <c r="M236" s="257">
        <v>26</v>
      </c>
      <c r="N236" s="257">
        <v>27</v>
      </c>
      <c r="O236" s="257">
        <v>27</v>
      </c>
      <c r="P236" s="257">
        <v>26</v>
      </c>
      <c r="Q236" s="257">
        <v>20</v>
      </c>
      <c r="R236" s="257">
        <v>20</v>
      </c>
      <c r="S236" s="257">
        <v>23</v>
      </c>
      <c r="T236" s="257">
        <v>23</v>
      </c>
      <c r="U236" s="773">
        <v>4487039.3</v>
      </c>
      <c r="V236" s="791">
        <v>0</v>
      </c>
      <c r="W236" s="791">
        <v>0</v>
      </c>
      <c r="X236" s="791">
        <v>0</v>
      </c>
      <c r="Y236" s="791">
        <v>1987585.4</v>
      </c>
    </row>
    <row r="237" spans="1:25" s="4" customFormat="1" ht="96" x14ac:dyDescent="0.3">
      <c r="A237" s="845"/>
      <c r="B237" s="861"/>
      <c r="C237" s="861"/>
      <c r="D237" s="729"/>
      <c r="E237" s="729"/>
      <c r="F237" s="245" t="s">
        <v>995</v>
      </c>
      <c r="G237" s="257" t="s">
        <v>62</v>
      </c>
      <c r="H237" s="257">
        <v>99.5</v>
      </c>
      <c r="I237" s="257">
        <v>99.4</v>
      </c>
      <c r="J237" s="257">
        <v>99.2</v>
      </c>
      <c r="K237" s="257">
        <v>99</v>
      </c>
      <c r="L237" s="257">
        <v>98.5</v>
      </c>
      <c r="M237" s="257">
        <v>97.5</v>
      </c>
      <c r="N237" s="257">
        <v>97</v>
      </c>
      <c r="O237" s="257">
        <v>95.9</v>
      </c>
      <c r="P237" s="257">
        <v>95.2</v>
      </c>
      <c r="Q237" s="257">
        <v>94.6</v>
      </c>
      <c r="R237" s="257">
        <v>94</v>
      </c>
      <c r="S237" s="257">
        <v>93.7</v>
      </c>
      <c r="T237" s="257">
        <v>93.2</v>
      </c>
      <c r="U237" s="774"/>
      <c r="V237" s="792"/>
      <c r="W237" s="792"/>
      <c r="X237" s="792"/>
      <c r="Y237" s="792"/>
    </row>
    <row r="238" spans="1:25" s="4" customFormat="1" ht="96" x14ac:dyDescent="0.3">
      <c r="A238" s="253" t="s">
        <v>825</v>
      </c>
      <c r="B238" s="242" t="s">
        <v>541</v>
      </c>
      <c r="C238" s="243" t="s">
        <v>1334</v>
      </c>
      <c r="D238" s="244" t="s">
        <v>482</v>
      </c>
      <c r="E238" s="244" t="s">
        <v>52</v>
      </c>
      <c r="F238" s="245" t="s">
        <v>542</v>
      </c>
      <c r="G238" s="257" t="s">
        <v>488</v>
      </c>
      <c r="H238" s="257">
        <v>860</v>
      </c>
      <c r="I238" s="257">
        <v>45</v>
      </c>
      <c r="J238" s="257">
        <v>45</v>
      </c>
      <c r="K238" s="257">
        <v>45</v>
      </c>
      <c r="L238" s="257">
        <v>45</v>
      </c>
      <c r="M238" s="257">
        <v>45</v>
      </c>
      <c r="N238" s="257">
        <v>45</v>
      </c>
      <c r="O238" s="257">
        <v>45</v>
      </c>
      <c r="P238" s="257">
        <v>45</v>
      </c>
      <c r="Q238" s="257">
        <v>45</v>
      </c>
      <c r="R238" s="257">
        <v>45</v>
      </c>
      <c r="S238" s="257">
        <v>45</v>
      </c>
      <c r="T238" s="257">
        <v>45</v>
      </c>
      <c r="U238" s="230">
        <v>5092875.1000000006</v>
      </c>
      <c r="V238" s="258">
        <v>1190854</v>
      </c>
      <c r="W238" s="258">
        <v>0</v>
      </c>
      <c r="X238" s="258">
        <v>0</v>
      </c>
      <c r="Y238" s="258">
        <v>0</v>
      </c>
    </row>
    <row r="239" spans="1:25" s="4" customFormat="1" ht="144" x14ac:dyDescent="0.3">
      <c r="A239" s="253" t="s">
        <v>826</v>
      </c>
      <c r="B239" s="243" t="s">
        <v>489</v>
      </c>
      <c r="C239" s="243" t="s">
        <v>1335</v>
      </c>
      <c r="D239" s="257" t="s">
        <v>1183</v>
      </c>
      <c r="E239" s="257" t="s">
        <v>52</v>
      </c>
      <c r="F239" s="245" t="s">
        <v>490</v>
      </c>
      <c r="G239" s="257" t="s">
        <v>485</v>
      </c>
      <c r="H239" s="257">
        <v>1520</v>
      </c>
      <c r="I239" s="257">
        <f>160+83</f>
        <v>243</v>
      </c>
      <c r="J239" s="257">
        <f>160+30</f>
        <v>190</v>
      </c>
      <c r="K239" s="257">
        <v>30</v>
      </c>
      <c r="L239" s="257">
        <f>159+85</f>
        <v>244</v>
      </c>
      <c r="M239" s="257">
        <f t="shared" ref="M239:S239" si="4">159+85</f>
        <v>244</v>
      </c>
      <c r="N239" s="257">
        <f t="shared" si="4"/>
        <v>244</v>
      </c>
      <c r="O239" s="257">
        <f t="shared" si="4"/>
        <v>244</v>
      </c>
      <c r="P239" s="257">
        <f t="shared" si="4"/>
        <v>244</v>
      </c>
      <c r="Q239" s="257">
        <f t="shared" si="4"/>
        <v>244</v>
      </c>
      <c r="R239" s="257">
        <f t="shared" si="4"/>
        <v>244</v>
      </c>
      <c r="S239" s="257">
        <f t="shared" si="4"/>
        <v>244</v>
      </c>
      <c r="T239" s="257">
        <f>159+84</f>
        <v>243</v>
      </c>
      <c r="U239" s="230">
        <v>3421623.7</v>
      </c>
      <c r="V239" s="258">
        <v>114136.4</v>
      </c>
      <c r="W239" s="258">
        <v>257957.3</v>
      </c>
      <c r="X239" s="258">
        <v>0</v>
      </c>
      <c r="Y239" s="258">
        <v>0</v>
      </c>
    </row>
    <row r="240" spans="1:25" s="4" customFormat="1" ht="120" x14ac:dyDescent="0.3">
      <c r="A240" s="758" t="s">
        <v>827</v>
      </c>
      <c r="B240" s="839" t="s">
        <v>1147</v>
      </c>
      <c r="C240" s="233" t="s">
        <v>1336</v>
      </c>
      <c r="D240" s="244" t="s">
        <v>28</v>
      </c>
      <c r="E240" s="224" t="s">
        <v>330</v>
      </c>
      <c r="F240" s="245" t="s">
        <v>1102</v>
      </c>
      <c r="G240" s="224" t="s">
        <v>117</v>
      </c>
      <c r="H240" s="224"/>
      <c r="I240" s="99"/>
      <c r="J240" s="224" t="s">
        <v>118</v>
      </c>
      <c r="K240" s="224" t="s">
        <v>118</v>
      </c>
      <c r="L240" s="224"/>
      <c r="M240" s="224"/>
      <c r="N240" s="224"/>
      <c r="O240" s="224"/>
      <c r="P240" s="224"/>
      <c r="Q240" s="224"/>
      <c r="R240" s="224"/>
      <c r="S240" s="224"/>
      <c r="T240" s="224"/>
      <c r="U240" s="230">
        <v>9000</v>
      </c>
      <c r="V240" s="258">
        <v>9000</v>
      </c>
      <c r="W240" s="258">
        <v>0</v>
      </c>
      <c r="X240" s="258">
        <v>0</v>
      </c>
      <c r="Y240" s="258">
        <v>0</v>
      </c>
    </row>
    <row r="241" spans="1:25" s="4" customFormat="1" ht="96" x14ac:dyDescent="0.3">
      <c r="A241" s="758"/>
      <c r="B241" s="856"/>
      <c r="C241" s="243" t="s">
        <v>1337</v>
      </c>
      <c r="D241" s="244" t="s">
        <v>28</v>
      </c>
      <c r="E241" s="224" t="s">
        <v>336</v>
      </c>
      <c r="F241" s="245" t="s">
        <v>1103</v>
      </c>
      <c r="G241" s="224" t="s">
        <v>117</v>
      </c>
      <c r="H241" s="224"/>
      <c r="I241" s="99"/>
      <c r="J241" s="224"/>
      <c r="K241" s="224"/>
      <c r="L241" s="224" t="s">
        <v>118</v>
      </c>
      <c r="M241" s="224" t="s">
        <v>118</v>
      </c>
      <c r="N241" s="224"/>
      <c r="O241" s="224"/>
      <c r="P241" s="224"/>
      <c r="Q241" s="224"/>
      <c r="R241" s="224"/>
      <c r="S241" s="224"/>
      <c r="T241" s="224"/>
      <c r="U241" s="230">
        <v>800000</v>
      </c>
      <c r="V241" s="258">
        <v>0</v>
      </c>
      <c r="W241" s="258">
        <v>0</v>
      </c>
      <c r="X241" s="258">
        <v>0</v>
      </c>
      <c r="Y241" s="258">
        <v>0</v>
      </c>
    </row>
    <row r="242" spans="1:25" s="4" customFormat="1" ht="48" x14ac:dyDescent="0.3">
      <c r="A242" s="758"/>
      <c r="B242" s="840"/>
      <c r="C242" s="243" t="s">
        <v>1338</v>
      </c>
      <c r="D242" s="244" t="s">
        <v>28</v>
      </c>
      <c r="E242" s="224">
        <v>2024</v>
      </c>
      <c r="F242" s="245" t="s">
        <v>1104</v>
      </c>
      <c r="G242" s="224" t="s">
        <v>117</v>
      </c>
      <c r="H242" s="224"/>
      <c r="I242" s="99"/>
      <c r="J242" s="224"/>
      <c r="K242" s="224"/>
      <c r="L242" s="224"/>
      <c r="M242" s="224"/>
      <c r="N242" s="224" t="s">
        <v>118</v>
      </c>
      <c r="O242" s="224"/>
      <c r="P242" s="224"/>
      <c r="Q242" s="224"/>
      <c r="R242" s="224"/>
      <c r="S242" s="224"/>
      <c r="T242" s="224"/>
      <c r="U242" s="230">
        <v>200000</v>
      </c>
      <c r="V242" s="258">
        <v>0</v>
      </c>
      <c r="W242" s="258">
        <v>0</v>
      </c>
      <c r="X242" s="258">
        <v>0</v>
      </c>
      <c r="Y242" s="258">
        <v>0</v>
      </c>
    </row>
    <row r="243" spans="1:25" s="4" customFormat="1" ht="128.25" customHeight="1" x14ac:dyDescent="0.3">
      <c r="A243" s="253" t="s">
        <v>828</v>
      </c>
      <c r="B243" s="251" t="s">
        <v>493</v>
      </c>
      <c r="C243" s="243" t="s">
        <v>1339</v>
      </c>
      <c r="D243" s="244" t="s">
        <v>494</v>
      </c>
      <c r="E243" s="224" t="s">
        <v>52</v>
      </c>
      <c r="F243" s="245" t="s">
        <v>495</v>
      </c>
      <c r="G243" s="244" t="s">
        <v>286</v>
      </c>
      <c r="H243" s="224">
        <v>67</v>
      </c>
      <c r="I243" s="224">
        <v>106</v>
      </c>
      <c r="J243" s="224">
        <v>147</v>
      </c>
      <c r="K243" s="224">
        <v>224</v>
      </c>
      <c r="L243" s="224">
        <v>224</v>
      </c>
      <c r="M243" s="224">
        <v>224</v>
      </c>
      <c r="N243" s="224">
        <v>223</v>
      </c>
      <c r="O243" s="224">
        <v>223</v>
      </c>
      <c r="P243" s="224">
        <v>223</v>
      </c>
      <c r="Q243" s="224">
        <v>223</v>
      </c>
      <c r="R243" s="224">
        <v>223</v>
      </c>
      <c r="S243" s="224">
        <v>223</v>
      </c>
      <c r="T243" s="224">
        <v>223</v>
      </c>
      <c r="U243" s="230">
        <v>815408.00000000012</v>
      </c>
      <c r="V243" s="258">
        <v>43709</v>
      </c>
      <c r="W243" s="258">
        <v>0</v>
      </c>
      <c r="X243" s="258">
        <v>0</v>
      </c>
      <c r="Y243" s="258">
        <v>0</v>
      </c>
    </row>
    <row r="244" spans="1:25" s="4" customFormat="1" ht="144" x14ac:dyDescent="0.3">
      <c r="A244" s="253" t="s">
        <v>829</v>
      </c>
      <c r="B244" s="251" t="s">
        <v>496</v>
      </c>
      <c r="C244" s="243" t="s">
        <v>1340</v>
      </c>
      <c r="D244" s="244" t="s">
        <v>494</v>
      </c>
      <c r="E244" s="224" t="s">
        <v>52</v>
      </c>
      <c r="F244" s="245" t="s">
        <v>497</v>
      </c>
      <c r="G244" s="244" t="s">
        <v>288</v>
      </c>
      <c r="H244" s="224">
        <v>138</v>
      </c>
      <c r="I244" s="224">
        <v>102</v>
      </c>
      <c r="J244" s="224">
        <v>102</v>
      </c>
      <c r="K244" s="224">
        <v>102</v>
      </c>
      <c r="L244" s="224">
        <v>102</v>
      </c>
      <c r="M244" s="224">
        <v>102</v>
      </c>
      <c r="N244" s="224">
        <v>102</v>
      </c>
      <c r="O244" s="224">
        <v>102</v>
      </c>
      <c r="P244" s="224">
        <v>102</v>
      </c>
      <c r="Q244" s="224">
        <v>102</v>
      </c>
      <c r="R244" s="224">
        <v>102</v>
      </c>
      <c r="S244" s="224">
        <v>102</v>
      </c>
      <c r="T244" s="224">
        <v>102</v>
      </c>
      <c r="U244" s="230">
        <v>246100</v>
      </c>
      <c r="V244" s="258">
        <v>60700</v>
      </c>
      <c r="W244" s="258">
        <v>0</v>
      </c>
      <c r="X244" s="258">
        <v>0</v>
      </c>
      <c r="Y244" s="258">
        <v>0</v>
      </c>
    </row>
    <row r="245" spans="1:25" s="4" customFormat="1" ht="48" x14ac:dyDescent="0.3">
      <c r="A245" s="844" t="s">
        <v>1330</v>
      </c>
      <c r="B245" s="839" t="s">
        <v>925</v>
      </c>
      <c r="C245" s="859" t="s">
        <v>1341</v>
      </c>
      <c r="D245" s="714" t="s">
        <v>482</v>
      </c>
      <c r="E245" s="716" t="s">
        <v>52</v>
      </c>
      <c r="F245" s="245" t="s">
        <v>926</v>
      </c>
      <c r="G245" s="244" t="s">
        <v>479</v>
      </c>
      <c r="H245" s="224" t="s">
        <v>140</v>
      </c>
      <c r="I245" s="224">
        <v>1</v>
      </c>
      <c r="J245" s="224">
        <v>2</v>
      </c>
      <c r="K245" s="224">
        <v>2</v>
      </c>
      <c r="L245" s="224">
        <v>3</v>
      </c>
      <c r="M245" s="224">
        <v>3</v>
      </c>
      <c r="N245" s="224">
        <v>4</v>
      </c>
      <c r="O245" s="224">
        <v>3</v>
      </c>
      <c r="P245" s="224">
        <v>3</v>
      </c>
      <c r="Q245" s="224">
        <v>2</v>
      </c>
      <c r="R245" s="224">
        <v>2</v>
      </c>
      <c r="S245" s="224">
        <v>2</v>
      </c>
      <c r="T245" s="224">
        <v>2</v>
      </c>
      <c r="U245" s="773">
        <v>574437.1</v>
      </c>
      <c r="V245" s="791">
        <v>0</v>
      </c>
      <c r="W245" s="791">
        <v>62905.2</v>
      </c>
      <c r="X245" s="791">
        <v>0</v>
      </c>
      <c r="Y245" s="791">
        <v>0</v>
      </c>
    </row>
    <row r="246" spans="1:25" s="4" customFormat="1" ht="72" x14ac:dyDescent="0.3">
      <c r="A246" s="845"/>
      <c r="B246" s="840"/>
      <c r="C246" s="861"/>
      <c r="D246" s="715"/>
      <c r="E246" s="717"/>
      <c r="F246" s="245" t="s">
        <v>927</v>
      </c>
      <c r="G246" s="244" t="s">
        <v>62</v>
      </c>
      <c r="H246" s="224">
        <v>0.7</v>
      </c>
      <c r="I246" s="224">
        <v>0.4</v>
      </c>
      <c r="J246" s="224">
        <v>0.2</v>
      </c>
      <c r="K246" s="224"/>
      <c r="L246" s="224"/>
      <c r="M246" s="224"/>
      <c r="N246" s="224"/>
      <c r="O246" s="224"/>
      <c r="P246" s="224"/>
      <c r="Q246" s="224"/>
      <c r="R246" s="224"/>
      <c r="S246" s="224"/>
      <c r="T246" s="224"/>
      <c r="U246" s="774"/>
      <c r="V246" s="792"/>
      <c r="W246" s="792"/>
      <c r="X246" s="792"/>
      <c r="Y246" s="792"/>
    </row>
    <row r="247" spans="1:25" ht="24" x14ac:dyDescent="0.3">
      <c r="A247" s="66" t="s">
        <v>498</v>
      </c>
      <c r="B247" s="945" t="s">
        <v>499</v>
      </c>
      <c r="C247" s="945"/>
      <c r="D247" s="945"/>
      <c r="E247" s="945"/>
      <c r="F247" s="945"/>
      <c r="G247" s="945"/>
      <c r="H247" s="945"/>
      <c r="I247" s="945"/>
      <c r="J247" s="945"/>
      <c r="K247" s="945"/>
      <c r="L247" s="945"/>
      <c r="M247" s="945"/>
      <c r="N247" s="945"/>
      <c r="O247" s="945"/>
      <c r="P247" s="945"/>
      <c r="Q247" s="945"/>
      <c r="R247" s="945"/>
      <c r="S247" s="945"/>
      <c r="T247" s="945"/>
      <c r="U247" s="51"/>
      <c r="V247" s="52"/>
      <c r="W247" s="52"/>
      <c r="X247" s="52"/>
      <c r="Y247" s="52"/>
    </row>
    <row r="248" spans="1:25" s="5" customFormat="1" ht="384" x14ac:dyDescent="0.3">
      <c r="A248" s="241" t="s">
        <v>500</v>
      </c>
      <c r="B248" s="250" t="s">
        <v>501</v>
      </c>
      <c r="C248" s="81" t="s">
        <v>502</v>
      </c>
      <c r="D248" s="244" t="s">
        <v>842</v>
      </c>
      <c r="E248" s="244" t="s">
        <v>49</v>
      </c>
      <c r="F248" s="74" t="s">
        <v>1105</v>
      </c>
      <c r="G248" s="244"/>
      <c r="H248" s="244"/>
      <c r="I248" s="244"/>
      <c r="J248" s="244"/>
      <c r="K248" s="244"/>
      <c r="L248" s="244"/>
      <c r="M248" s="244"/>
      <c r="N248" s="244"/>
      <c r="O248" s="244"/>
      <c r="P248" s="244" t="s">
        <v>118</v>
      </c>
      <c r="Q248" s="244"/>
      <c r="R248" s="244"/>
      <c r="S248" s="244"/>
      <c r="T248" s="244"/>
      <c r="U248" s="230">
        <v>0</v>
      </c>
      <c r="V248" s="258">
        <v>0</v>
      </c>
      <c r="W248" s="258">
        <v>0</v>
      </c>
      <c r="X248" s="258">
        <v>0</v>
      </c>
      <c r="Y248" s="258">
        <v>0</v>
      </c>
    </row>
    <row r="249" spans="1:25" s="5" customFormat="1" ht="409.5" x14ac:dyDescent="0.3">
      <c r="A249" s="862" t="s">
        <v>503</v>
      </c>
      <c r="B249" s="839" t="s">
        <v>504</v>
      </c>
      <c r="C249" s="250" t="s">
        <v>1137</v>
      </c>
      <c r="D249" s="714" t="s">
        <v>1184</v>
      </c>
      <c r="E249" s="244" t="s">
        <v>1436</v>
      </c>
      <c r="F249" s="245" t="s">
        <v>505</v>
      </c>
      <c r="G249" s="257" t="s">
        <v>506</v>
      </c>
      <c r="H249" s="139">
        <v>3004.88</v>
      </c>
      <c r="I249" s="139">
        <v>2560.5</v>
      </c>
      <c r="J249" s="139">
        <v>2483.6999999999998</v>
      </c>
      <c r="K249" s="139">
        <v>2410</v>
      </c>
      <c r="L249" s="244"/>
      <c r="M249" s="244"/>
      <c r="N249" s="244"/>
      <c r="O249" s="244"/>
      <c r="P249" s="244"/>
      <c r="Q249" s="244"/>
      <c r="R249" s="244"/>
      <c r="S249" s="244"/>
      <c r="T249" s="244"/>
      <c r="U249" s="230">
        <v>714993.50000000012</v>
      </c>
      <c r="V249" s="258">
        <v>64276</v>
      </c>
      <c r="W249" s="258">
        <v>0</v>
      </c>
      <c r="X249" s="258">
        <v>0</v>
      </c>
      <c r="Y249" s="258">
        <v>114472.3</v>
      </c>
    </row>
    <row r="250" spans="1:25" s="5" customFormat="1" ht="92.25" customHeight="1" x14ac:dyDescent="0.3">
      <c r="A250" s="869"/>
      <c r="B250" s="856"/>
      <c r="C250" s="250" t="s">
        <v>507</v>
      </c>
      <c r="D250" s="748"/>
      <c r="E250" s="244" t="s">
        <v>36</v>
      </c>
      <c r="F250" s="245" t="s">
        <v>508</v>
      </c>
      <c r="G250" s="257" t="s">
        <v>62</v>
      </c>
      <c r="H250" s="126">
        <v>33</v>
      </c>
      <c r="I250" s="224">
        <v>30</v>
      </c>
      <c r="J250" s="224">
        <v>26</v>
      </c>
      <c r="K250" s="224">
        <v>22</v>
      </c>
      <c r="L250" s="224">
        <v>19</v>
      </c>
      <c r="M250" s="224">
        <v>16</v>
      </c>
      <c r="N250" s="224">
        <v>13</v>
      </c>
      <c r="O250" s="224">
        <v>10</v>
      </c>
      <c r="P250" s="257"/>
      <c r="Q250" s="257"/>
      <c r="R250" s="257"/>
      <c r="S250" s="257"/>
      <c r="T250" s="257"/>
      <c r="U250" s="230">
        <v>5711253</v>
      </c>
      <c r="V250" s="258">
        <v>0</v>
      </c>
      <c r="W250" s="258">
        <v>0</v>
      </c>
      <c r="X250" s="258">
        <v>0</v>
      </c>
      <c r="Y250" s="258">
        <v>2551682</v>
      </c>
    </row>
    <row r="251" spans="1:25" s="5" customFormat="1" ht="86.25" customHeight="1" x14ac:dyDescent="0.3">
      <c r="A251" s="869"/>
      <c r="B251" s="856"/>
      <c r="C251" s="250" t="s">
        <v>1342</v>
      </c>
      <c r="D251" s="748"/>
      <c r="E251" s="244" t="s">
        <v>36</v>
      </c>
      <c r="F251" s="245" t="s">
        <v>508</v>
      </c>
      <c r="G251" s="257" t="s">
        <v>62</v>
      </c>
      <c r="H251" s="126">
        <v>73.3</v>
      </c>
      <c r="I251" s="210">
        <v>72</v>
      </c>
      <c r="J251" s="210">
        <v>71</v>
      </c>
      <c r="K251" s="210">
        <v>68</v>
      </c>
      <c r="L251" s="210">
        <v>65</v>
      </c>
      <c r="M251" s="210">
        <v>63</v>
      </c>
      <c r="N251" s="210">
        <v>60</v>
      </c>
      <c r="O251" s="210">
        <v>58</v>
      </c>
      <c r="P251" s="257"/>
      <c r="Q251" s="257"/>
      <c r="R251" s="257"/>
      <c r="S251" s="257"/>
      <c r="T251" s="257"/>
      <c r="U251" s="230">
        <v>11016577</v>
      </c>
      <c r="V251" s="258">
        <v>0</v>
      </c>
      <c r="W251" s="258">
        <v>0</v>
      </c>
      <c r="X251" s="258">
        <v>0</v>
      </c>
      <c r="Y251" s="258">
        <v>5832467</v>
      </c>
    </row>
    <row r="252" spans="1:25" s="5" customFormat="1" ht="120" x14ac:dyDescent="0.3">
      <c r="A252" s="869"/>
      <c r="B252" s="856"/>
      <c r="C252" s="250" t="s">
        <v>1037</v>
      </c>
      <c r="D252" s="748"/>
      <c r="E252" s="244" t="s">
        <v>509</v>
      </c>
      <c r="F252" s="245" t="s">
        <v>510</v>
      </c>
      <c r="G252" s="257" t="s">
        <v>62</v>
      </c>
      <c r="H252" s="218">
        <v>77.8</v>
      </c>
      <c r="I252" s="218">
        <v>86</v>
      </c>
      <c r="J252" s="218">
        <v>81.8</v>
      </c>
      <c r="K252" s="218">
        <v>81.8</v>
      </c>
      <c r="L252" s="218">
        <v>77.8</v>
      </c>
      <c r="M252" s="218">
        <v>70.2</v>
      </c>
      <c r="N252" s="218">
        <v>63.3</v>
      </c>
      <c r="O252" s="218">
        <v>56.9</v>
      </c>
      <c r="P252" s="257"/>
      <c r="Q252" s="257"/>
      <c r="R252" s="257"/>
      <c r="S252" s="257"/>
      <c r="T252" s="257"/>
      <c r="U252" s="230">
        <v>427799.2</v>
      </c>
      <c r="V252" s="258">
        <v>0</v>
      </c>
      <c r="W252" s="258">
        <v>0</v>
      </c>
      <c r="X252" s="258">
        <v>0</v>
      </c>
      <c r="Y252" s="258">
        <v>427799.2</v>
      </c>
    </row>
    <row r="253" spans="1:25" s="5" customFormat="1" ht="168" x14ac:dyDescent="0.3">
      <c r="A253" s="863"/>
      <c r="B253" s="840"/>
      <c r="C253" s="250" t="s">
        <v>956</v>
      </c>
      <c r="D253" s="715"/>
      <c r="E253" s="244" t="s">
        <v>1437</v>
      </c>
      <c r="F253" s="73" t="s">
        <v>511</v>
      </c>
      <c r="G253" s="257" t="s">
        <v>31</v>
      </c>
      <c r="H253" s="257">
        <v>0</v>
      </c>
      <c r="I253" s="257">
        <v>2</v>
      </c>
      <c r="J253" s="257">
        <v>2</v>
      </c>
      <c r="K253" s="257">
        <v>4</v>
      </c>
      <c r="L253" s="257">
        <v>5</v>
      </c>
      <c r="M253" s="257">
        <v>5</v>
      </c>
      <c r="N253" s="257">
        <v>5</v>
      </c>
      <c r="O253" s="257">
        <v>5</v>
      </c>
      <c r="P253" s="257">
        <v>5</v>
      </c>
      <c r="Q253" s="257">
        <v>5</v>
      </c>
      <c r="R253" s="257">
        <v>5</v>
      </c>
      <c r="S253" s="257">
        <v>5</v>
      </c>
      <c r="T253" s="257">
        <v>5</v>
      </c>
      <c r="U253" s="230">
        <v>1729300</v>
      </c>
      <c r="V253" s="258">
        <v>0</v>
      </c>
      <c r="W253" s="258">
        <v>0</v>
      </c>
      <c r="X253" s="258">
        <v>0</v>
      </c>
      <c r="Y253" s="258">
        <v>926700</v>
      </c>
    </row>
    <row r="254" spans="1:25" s="5" customFormat="1" ht="288" x14ac:dyDescent="0.3">
      <c r="A254" s="241" t="s">
        <v>512</v>
      </c>
      <c r="B254" s="250" t="s">
        <v>513</v>
      </c>
      <c r="C254" s="250" t="s">
        <v>1343</v>
      </c>
      <c r="D254" s="257" t="s">
        <v>514</v>
      </c>
      <c r="E254" s="244" t="s">
        <v>515</v>
      </c>
      <c r="F254" s="74" t="s">
        <v>516</v>
      </c>
      <c r="G254" s="244" t="s">
        <v>117</v>
      </c>
      <c r="H254" s="244"/>
      <c r="I254" s="244" t="s">
        <v>118</v>
      </c>
      <c r="J254" s="244"/>
      <c r="K254" s="244"/>
      <c r="L254" s="244"/>
      <c r="M254" s="244"/>
      <c r="N254" s="244"/>
      <c r="O254" s="244"/>
      <c r="P254" s="244"/>
      <c r="Q254" s="244"/>
      <c r="R254" s="244"/>
      <c r="S254" s="244"/>
      <c r="T254" s="244"/>
      <c r="U254" s="230">
        <v>2261595.2999999998</v>
      </c>
      <c r="V254" s="258">
        <v>16836.400000000001</v>
      </c>
      <c r="W254" s="258">
        <v>0</v>
      </c>
      <c r="X254" s="258">
        <v>0</v>
      </c>
      <c r="Y254" s="258">
        <v>0</v>
      </c>
    </row>
    <row r="255" spans="1:25" s="5" customFormat="1" ht="264" x14ac:dyDescent="0.3">
      <c r="A255" s="241" t="s">
        <v>517</v>
      </c>
      <c r="B255" s="250" t="s">
        <v>518</v>
      </c>
      <c r="C255" s="250" t="s">
        <v>1344</v>
      </c>
      <c r="D255" s="257" t="s">
        <v>514</v>
      </c>
      <c r="E255" s="244" t="s">
        <v>509</v>
      </c>
      <c r="F255" s="245" t="s">
        <v>971</v>
      </c>
      <c r="G255" s="257" t="s">
        <v>31</v>
      </c>
      <c r="H255" s="257"/>
      <c r="I255" s="257"/>
      <c r="J255" s="257">
        <v>1</v>
      </c>
      <c r="K255" s="257"/>
      <c r="L255" s="257"/>
      <c r="M255" s="244"/>
      <c r="N255" s="244"/>
      <c r="O255" s="244"/>
      <c r="P255" s="244"/>
      <c r="Q255" s="244"/>
      <c r="R255" s="244"/>
      <c r="S255" s="244"/>
      <c r="T255" s="244"/>
      <c r="U255" s="230">
        <v>169075.5</v>
      </c>
      <c r="V255" s="258">
        <v>0</v>
      </c>
      <c r="W255" s="258">
        <v>0</v>
      </c>
      <c r="X255" s="258">
        <v>0</v>
      </c>
      <c r="Y255" s="258">
        <v>0</v>
      </c>
    </row>
    <row r="256" spans="1:25" s="5" customFormat="1" ht="144" x14ac:dyDescent="0.3">
      <c r="A256" s="241" t="s">
        <v>1106</v>
      </c>
      <c r="B256" s="250" t="s">
        <v>522</v>
      </c>
      <c r="C256" s="250" t="s">
        <v>523</v>
      </c>
      <c r="D256" s="244" t="s">
        <v>422</v>
      </c>
      <c r="E256" s="244" t="s">
        <v>325</v>
      </c>
      <c r="F256" s="245" t="s">
        <v>996</v>
      </c>
      <c r="G256" s="257" t="s">
        <v>62</v>
      </c>
      <c r="H256" s="257"/>
      <c r="I256" s="257"/>
      <c r="J256" s="257"/>
      <c r="K256" s="257"/>
      <c r="L256" s="257"/>
      <c r="M256" s="257">
        <v>100</v>
      </c>
      <c r="N256" s="244"/>
      <c r="O256" s="244"/>
      <c r="P256" s="244"/>
      <c r="Q256" s="244"/>
      <c r="R256" s="244"/>
      <c r="S256" s="244"/>
      <c r="T256" s="244"/>
      <c r="U256" s="230">
        <v>55000</v>
      </c>
      <c r="V256" s="258">
        <v>0</v>
      </c>
      <c r="W256" s="258">
        <v>0</v>
      </c>
      <c r="X256" s="258">
        <v>0</v>
      </c>
      <c r="Y256" s="258">
        <v>0</v>
      </c>
    </row>
    <row r="257" spans="1:25" s="5" customFormat="1" ht="192" x14ac:dyDescent="0.3">
      <c r="A257" s="241" t="s">
        <v>1107</v>
      </c>
      <c r="B257" s="250" t="s">
        <v>537</v>
      </c>
      <c r="C257" s="250" t="s">
        <v>538</v>
      </c>
      <c r="D257" s="244" t="s">
        <v>422</v>
      </c>
      <c r="E257" s="244" t="s">
        <v>273</v>
      </c>
      <c r="F257" s="245" t="s">
        <v>997</v>
      </c>
      <c r="G257" s="257" t="s">
        <v>62</v>
      </c>
      <c r="H257" s="257"/>
      <c r="I257" s="257"/>
      <c r="J257" s="257">
        <v>100</v>
      </c>
      <c r="K257" s="257"/>
      <c r="L257" s="257"/>
      <c r="M257" s="257"/>
      <c r="N257" s="244"/>
      <c r="O257" s="244"/>
      <c r="P257" s="244"/>
      <c r="Q257" s="244"/>
      <c r="R257" s="244"/>
      <c r="S257" s="244"/>
      <c r="T257" s="244"/>
      <c r="U257" s="230">
        <v>50000</v>
      </c>
      <c r="V257" s="258">
        <v>0</v>
      </c>
      <c r="W257" s="258">
        <v>0</v>
      </c>
      <c r="X257" s="258">
        <v>0</v>
      </c>
      <c r="Y257" s="258">
        <v>0</v>
      </c>
    </row>
    <row r="258" spans="1:25" s="5" customFormat="1" ht="168" x14ac:dyDescent="0.3">
      <c r="A258" s="241" t="s">
        <v>524</v>
      </c>
      <c r="B258" s="250" t="s">
        <v>519</v>
      </c>
      <c r="C258" s="250" t="s">
        <v>1345</v>
      </c>
      <c r="D258" s="257" t="s">
        <v>520</v>
      </c>
      <c r="E258" s="244" t="s">
        <v>521</v>
      </c>
      <c r="F258" s="777" t="s">
        <v>958</v>
      </c>
      <c r="G258" s="714" t="s">
        <v>62</v>
      </c>
      <c r="H258" s="714"/>
      <c r="I258" s="714">
        <v>0</v>
      </c>
      <c r="J258" s="714">
        <v>0.4</v>
      </c>
      <c r="K258" s="714">
        <v>0.4</v>
      </c>
      <c r="L258" s="714">
        <v>0.4</v>
      </c>
      <c r="M258" s="714">
        <v>10</v>
      </c>
      <c r="N258" s="714">
        <v>20</v>
      </c>
      <c r="O258" s="714">
        <v>90</v>
      </c>
      <c r="P258" s="714">
        <v>90</v>
      </c>
      <c r="Q258" s="714">
        <v>90</v>
      </c>
      <c r="R258" s="714">
        <v>90</v>
      </c>
      <c r="S258" s="714">
        <v>90</v>
      </c>
      <c r="T258" s="714">
        <v>99.8</v>
      </c>
      <c r="U258" s="230">
        <v>51340.4</v>
      </c>
      <c r="V258" s="258">
        <v>0</v>
      </c>
      <c r="W258" s="258">
        <v>0</v>
      </c>
      <c r="X258" s="258">
        <v>0</v>
      </c>
      <c r="Y258" s="258">
        <v>0</v>
      </c>
    </row>
    <row r="259" spans="1:25" s="5" customFormat="1" ht="144" x14ac:dyDescent="0.3">
      <c r="A259" s="241" t="s">
        <v>526</v>
      </c>
      <c r="B259" s="250" t="s">
        <v>527</v>
      </c>
      <c r="C259" s="250" t="s">
        <v>1038</v>
      </c>
      <c r="D259" s="244" t="s">
        <v>972</v>
      </c>
      <c r="E259" s="244">
        <v>2022</v>
      </c>
      <c r="F259" s="778"/>
      <c r="G259" s="715"/>
      <c r="H259" s="715"/>
      <c r="I259" s="715"/>
      <c r="J259" s="715"/>
      <c r="K259" s="715"/>
      <c r="L259" s="715"/>
      <c r="M259" s="715"/>
      <c r="N259" s="715"/>
      <c r="O259" s="715"/>
      <c r="P259" s="715"/>
      <c r="Q259" s="715"/>
      <c r="R259" s="715"/>
      <c r="S259" s="715"/>
      <c r="T259" s="715"/>
      <c r="U259" s="230">
        <v>183200</v>
      </c>
      <c r="V259" s="258">
        <v>0</v>
      </c>
      <c r="W259" s="258">
        <v>0</v>
      </c>
      <c r="X259" s="258">
        <v>0</v>
      </c>
      <c r="Y259" s="258">
        <v>0</v>
      </c>
    </row>
    <row r="260" spans="1:25" s="5" customFormat="1" ht="144" x14ac:dyDescent="0.3">
      <c r="A260" s="241" t="s">
        <v>528</v>
      </c>
      <c r="B260" s="250" t="s">
        <v>525</v>
      </c>
      <c r="C260" s="250" t="s">
        <v>1346</v>
      </c>
      <c r="D260" s="244" t="s">
        <v>972</v>
      </c>
      <c r="E260" s="244" t="s">
        <v>258</v>
      </c>
      <c r="F260" s="777" t="s">
        <v>957</v>
      </c>
      <c r="G260" s="714" t="s">
        <v>31</v>
      </c>
      <c r="H260" s="714">
        <v>3</v>
      </c>
      <c r="I260" s="714">
        <v>4</v>
      </c>
      <c r="J260" s="714">
        <v>5</v>
      </c>
      <c r="K260" s="714">
        <v>5</v>
      </c>
      <c r="L260" s="714">
        <v>5</v>
      </c>
      <c r="M260" s="714">
        <v>5</v>
      </c>
      <c r="N260" s="714">
        <v>5</v>
      </c>
      <c r="O260" s="714">
        <v>5</v>
      </c>
      <c r="P260" s="714">
        <v>5</v>
      </c>
      <c r="Q260" s="714">
        <v>5</v>
      </c>
      <c r="R260" s="714">
        <v>5</v>
      </c>
      <c r="S260" s="714">
        <v>5</v>
      </c>
      <c r="T260" s="714">
        <v>5</v>
      </c>
      <c r="U260" s="230">
        <v>20000</v>
      </c>
      <c r="V260" s="258">
        <v>0</v>
      </c>
      <c r="W260" s="258">
        <v>0</v>
      </c>
      <c r="X260" s="258">
        <v>0</v>
      </c>
      <c r="Y260" s="258">
        <v>0</v>
      </c>
    </row>
    <row r="261" spans="1:25" s="5" customFormat="1" ht="144" x14ac:dyDescent="0.3">
      <c r="A261" s="241" t="s">
        <v>530</v>
      </c>
      <c r="B261" s="250" t="s">
        <v>529</v>
      </c>
      <c r="C261" s="250" t="s">
        <v>1039</v>
      </c>
      <c r="D261" s="244" t="s">
        <v>972</v>
      </c>
      <c r="E261" s="244">
        <v>2023</v>
      </c>
      <c r="F261" s="784"/>
      <c r="G261" s="748"/>
      <c r="H261" s="748"/>
      <c r="I261" s="748"/>
      <c r="J261" s="748"/>
      <c r="K261" s="748"/>
      <c r="L261" s="748"/>
      <c r="M261" s="748"/>
      <c r="N261" s="748"/>
      <c r="O261" s="748"/>
      <c r="P261" s="748"/>
      <c r="Q261" s="748"/>
      <c r="R261" s="748"/>
      <c r="S261" s="748"/>
      <c r="T261" s="748"/>
      <c r="U261" s="230">
        <v>1487000</v>
      </c>
      <c r="V261" s="258">
        <v>0</v>
      </c>
      <c r="W261" s="258">
        <v>0</v>
      </c>
      <c r="X261" s="258">
        <v>0</v>
      </c>
      <c r="Y261" s="258">
        <v>0</v>
      </c>
    </row>
    <row r="262" spans="1:25" s="5" customFormat="1" ht="120" x14ac:dyDescent="0.3">
      <c r="A262" s="241" t="s">
        <v>533</v>
      </c>
      <c r="B262" s="250" t="s">
        <v>531</v>
      </c>
      <c r="C262" s="250" t="s">
        <v>532</v>
      </c>
      <c r="D262" s="244" t="s">
        <v>972</v>
      </c>
      <c r="E262" s="244">
        <v>2025</v>
      </c>
      <c r="F262" s="784"/>
      <c r="G262" s="748"/>
      <c r="H262" s="748"/>
      <c r="I262" s="748"/>
      <c r="J262" s="748"/>
      <c r="K262" s="748"/>
      <c r="L262" s="748"/>
      <c r="M262" s="748"/>
      <c r="N262" s="748"/>
      <c r="O262" s="748"/>
      <c r="P262" s="748"/>
      <c r="Q262" s="748"/>
      <c r="R262" s="748"/>
      <c r="S262" s="748"/>
      <c r="T262" s="748"/>
      <c r="U262" s="230">
        <v>39700</v>
      </c>
      <c r="V262" s="258">
        <v>0</v>
      </c>
      <c r="W262" s="258">
        <v>0</v>
      </c>
      <c r="X262" s="258">
        <v>0</v>
      </c>
      <c r="Y262" s="258">
        <v>0</v>
      </c>
    </row>
    <row r="263" spans="1:25" s="5" customFormat="1" ht="120" x14ac:dyDescent="0.3">
      <c r="A263" s="241" t="s">
        <v>536</v>
      </c>
      <c r="B263" s="250" t="s">
        <v>534</v>
      </c>
      <c r="C263" s="250" t="s">
        <v>535</v>
      </c>
      <c r="D263" s="244" t="s">
        <v>972</v>
      </c>
      <c r="E263" s="244">
        <v>2025</v>
      </c>
      <c r="F263" s="778"/>
      <c r="G263" s="715"/>
      <c r="H263" s="715"/>
      <c r="I263" s="715"/>
      <c r="J263" s="715"/>
      <c r="K263" s="715"/>
      <c r="L263" s="715"/>
      <c r="M263" s="715"/>
      <c r="N263" s="715"/>
      <c r="O263" s="715"/>
      <c r="P263" s="715"/>
      <c r="Q263" s="715"/>
      <c r="R263" s="715"/>
      <c r="S263" s="715"/>
      <c r="T263" s="715"/>
      <c r="U263" s="230">
        <v>19400</v>
      </c>
      <c r="V263" s="258">
        <v>0</v>
      </c>
      <c r="W263" s="258">
        <v>0</v>
      </c>
      <c r="X263" s="258">
        <v>0</v>
      </c>
      <c r="Y263" s="258">
        <v>0</v>
      </c>
    </row>
    <row r="264" spans="1:25" ht="24" x14ac:dyDescent="0.3">
      <c r="A264" s="66" t="s">
        <v>539</v>
      </c>
      <c r="B264" s="945" t="s">
        <v>540</v>
      </c>
      <c r="C264" s="945"/>
      <c r="D264" s="945"/>
      <c r="E264" s="945"/>
      <c r="F264" s="945"/>
      <c r="G264" s="945"/>
      <c r="H264" s="945"/>
      <c r="I264" s="945"/>
      <c r="J264" s="945"/>
      <c r="K264" s="945"/>
      <c r="L264" s="945"/>
      <c r="M264" s="945"/>
      <c r="N264" s="945"/>
      <c r="O264" s="945"/>
      <c r="P264" s="945"/>
      <c r="Q264" s="945"/>
      <c r="R264" s="945"/>
      <c r="S264" s="945"/>
      <c r="T264" s="945"/>
      <c r="U264" s="51"/>
      <c r="V264" s="52"/>
      <c r="W264" s="52"/>
      <c r="X264" s="52"/>
      <c r="Y264" s="52"/>
    </row>
    <row r="265" spans="1:25" s="4" customFormat="1" ht="96" x14ac:dyDescent="0.3">
      <c r="A265" s="862" t="s">
        <v>543</v>
      </c>
      <c r="B265" s="804" t="s">
        <v>544</v>
      </c>
      <c r="C265" s="243" t="s">
        <v>545</v>
      </c>
      <c r="D265" s="257" t="s">
        <v>546</v>
      </c>
      <c r="E265" s="257" t="s">
        <v>551</v>
      </c>
      <c r="F265" s="245" t="s">
        <v>547</v>
      </c>
      <c r="G265" s="257" t="s">
        <v>548</v>
      </c>
      <c r="H265" s="257">
        <v>1957.7</v>
      </c>
      <c r="I265" s="257">
        <v>1604.7</v>
      </c>
      <c r="J265" s="124">
        <v>1604.7</v>
      </c>
      <c r="K265" s="124">
        <v>1604.7</v>
      </c>
      <c r="L265" s="124">
        <v>1604.7</v>
      </c>
      <c r="M265" s="124">
        <v>1604.7</v>
      </c>
      <c r="N265" s="124">
        <v>1604.7</v>
      </c>
      <c r="O265" s="124">
        <v>1897.7</v>
      </c>
      <c r="P265" s="244"/>
      <c r="Q265" s="244"/>
      <c r="R265" s="244"/>
      <c r="S265" s="244"/>
      <c r="T265" s="244"/>
      <c r="U265" s="230">
        <v>2428280</v>
      </c>
      <c r="V265" s="258">
        <v>0</v>
      </c>
      <c r="W265" s="258">
        <v>0</v>
      </c>
      <c r="X265" s="258">
        <v>0</v>
      </c>
      <c r="Y265" s="258">
        <v>1784280</v>
      </c>
    </row>
    <row r="266" spans="1:25" s="4" customFormat="1" ht="120" x14ac:dyDescent="0.3">
      <c r="A266" s="869"/>
      <c r="B266" s="852"/>
      <c r="C266" s="243" t="s">
        <v>549</v>
      </c>
      <c r="D266" s="257" t="s">
        <v>550</v>
      </c>
      <c r="E266" s="257" t="s">
        <v>551</v>
      </c>
      <c r="F266" s="245" t="s">
        <v>547</v>
      </c>
      <c r="G266" s="257" t="s">
        <v>548</v>
      </c>
      <c r="H266" s="257">
        <v>1047.972</v>
      </c>
      <c r="I266" s="257">
        <v>815.53</v>
      </c>
      <c r="J266" s="257">
        <v>815.53</v>
      </c>
      <c r="K266" s="257">
        <v>815.53</v>
      </c>
      <c r="L266" s="257">
        <v>815.53</v>
      </c>
      <c r="M266" s="257">
        <v>815.53</v>
      </c>
      <c r="N266" s="257">
        <v>815.53</v>
      </c>
      <c r="O266" s="257">
        <v>1116.53</v>
      </c>
      <c r="P266" s="244"/>
      <c r="Q266" s="244"/>
      <c r="R266" s="244"/>
      <c r="S266" s="244"/>
      <c r="T266" s="244"/>
      <c r="U266" s="230">
        <v>1726024</v>
      </c>
      <c r="V266" s="258">
        <v>0</v>
      </c>
      <c r="W266" s="258">
        <v>0</v>
      </c>
      <c r="X266" s="258">
        <v>0</v>
      </c>
      <c r="Y266" s="258">
        <v>1243528</v>
      </c>
    </row>
    <row r="267" spans="1:25" s="4" customFormat="1" ht="120" x14ac:dyDescent="0.3">
      <c r="A267" s="869"/>
      <c r="B267" s="852"/>
      <c r="C267" s="243" t="s">
        <v>552</v>
      </c>
      <c r="D267" s="257" t="s">
        <v>550</v>
      </c>
      <c r="E267" s="257" t="s">
        <v>551</v>
      </c>
      <c r="F267" s="245" t="s">
        <v>547</v>
      </c>
      <c r="G267" s="257" t="s">
        <v>548</v>
      </c>
      <c r="H267" s="257">
        <v>818.72</v>
      </c>
      <c r="I267" s="257">
        <v>514.54999999999995</v>
      </c>
      <c r="J267" s="257">
        <v>514.54999999999995</v>
      </c>
      <c r="K267" s="257">
        <v>514.54999999999995</v>
      </c>
      <c r="L267" s="257">
        <v>514.54999999999995</v>
      </c>
      <c r="M267" s="257">
        <v>514.54999999999995</v>
      </c>
      <c r="N267" s="257">
        <v>514.54999999999995</v>
      </c>
      <c r="O267" s="257">
        <v>815.55</v>
      </c>
      <c r="P267" s="244"/>
      <c r="Q267" s="244"/>
      <c r="R267" s="244"/>
      <c r="S267" s="244"/>
      <c r="T267" s="244"/>
      <c r="U267" s="230">
        <v>854693</v>
      </c>
      <c r="V267" s="258">
        <v>0</v>
      </c>
      <c r="W267" s="258">
        <v>0</v>
      </c>
      <c r="X267" s="258">
        <v>0</v>
      </c>
      <c r="Y267" s="258">
        <v>594693</v>
      </c>
    </row>
    <row r="268" spans="1:25" s="4" customFormat="1" ht="72" x14ac:dyDescent="0.3">
      <c r="A268" s="863"/>
      <c r="B268" s="805"/>
      <c r="C268" s="242" t="s">
        <v>1347</v>
      </c>
      <c r="D268" s="257" t="s">
        <v>550</v>
      </c>
      <c r="E268" s="257" t="s">
        <v>551</v>
      </c>
      <c r="F268" s="245" t="s">
        <v>553</v>
      </c>
      <c r="G268" s="257" t="s">
        <v>62</v>
      </c>
      <c r="H268" s="257">
        <v>30</v>
      </c>
      <c r="I268" s="257">
        <v>26</v>
      </c>
      <c r="J268" s="257">
        <v>23</v>
      </c>
      <c r="K268" s="257">
        <v>20</v>
      </c>
      <c r="L268" s="257">
        <v>17</v>
      </c>
      <c r="M268" s="257">
        <v>14</v>
      </c>
      <c r="N268" s="257">
        <v>13</v>
      </c>
      <c r="O268" s="257">
        <v>11</v>
      </c>
      <c r="P268" s="244"/>
      <c r="Q268" s="244"/>
      <c r="R268" s="244"/>
      <c r="S268" s="244"/>
      <c r="T268" s="244"/>
      <c r="U268" s="230">
        <v>1094299.8999999999</v>
      </c>
      <c r="V268" s="258">
        <v>74184.899999999994</v>
      </c>
      <c r="W268" s="258">
        <v>50000</v>
      </c>
      <c r="X268" s="258">
        <v>0</v>
      </c>
      <c r="Y268" s="258">
        <v>236400</v>
      </c>
    </row>
    <row r="269" spans="1:25" s="4" customFormat="1" ht="96" x14ac:dyDescent="0.3">
      <c r="A269" s="241" t="s">
        <v>554</v>
      </c>
      <c r="B269" s="242" t="s">
        <v>555</v>
      </c>
      <c r="C269" s="243" t="s">
        <v>1348</v>
      </c>
      <c r="D269" s="244" t="s">
        <v>1148</v>
      </c>
      <c r="E269" s="244">
        <v>2021</v>
      </c>
      <c r="F269" s="245" t="s">
        <v>556</v>
      </c>
      <c r="G269" s="257" t="s">
        <v>62</v>
      </c>
      <c r="H269" s="257">
        <v>0</v>
      </c>
      <c r="I269" s="257">
        <v>30</v>
      </c>
      <c r="J269" s="257">
        <v>70</v>
      </c>
      <c r="K269" s="257">
        <v>100</v>
      </c>
      <c r="L269" s="244"/>
      <c r="M269" s="244"/>
      <c r="N269" s="244"/>
      <c r="O269" s="244"/>
      <c r="P269" s="244"/>
      <c r="Q269" s="244"/>
      <c r="R269" s="244"/>
      <c r="S269" s="244"/>
      <c r="T269" s="244"/>
      <c r="U269" s="230">
        <v>1051250</v>
      </c>
      <c r="V269" s="258">
        <v>0</v>
      </c>
      <c r="W269" s="258">
        <v>0</v>
      </c>
      <c r="X269" s="258">
        <v>0</v>
      </c>
      <c r="Y269" s="258">
        <v>0</v>
      </c>
    </row>
    <row r="270" spans="1:25" s="4" customFormat="1" ht="120" x14ac:dyDescent="0.3">
      <c r="A270" s="862" t="s">
        <v>557</v>
      </c>
      <c r="B270" s="839" t="s">
        <v>558</v>
      </c>
      <c r="C270" s="243" t="s">
        <v>999</v>
      </c>
      <c r="D270" s="257" t="s">
        <v>550</v>
      </c>
      <c r="E270" s="257" t="s">
        <v>551</v>
      </c>
      <c r="F270" s="245" t="s">
        <v>998</v>
      </c>
      <c r="G270" s="257" t="s">
        <v>559</v>
      </c>
      <c r="H270" s="257">
        <v>0</v>
      </c>
      <c r="I270" s="257">
        <v>10</v>
      </c>
      <c r="J270" s="257">
        <v>14</v>
      </c>
      <c r="K270" s="257">
        <v>5</v>
      </c>
      <c r="L270" s="257">
        <v>2</v>
      </c>
      <c r="M270" s="257">
        <v>2</v>
      </c>
      <c r="N270" s="257">
        <v>2</v>
      </c>
      <c r="O270" s="257">
        <v>2</v>
      </c>
      <c r="P270" s="244"/>
      <c r="Q270" s="244"/>
      <c r="R270" s="244"/>
      <c r="S270" s="244"/>
      <c r="T270" s="244"/>
      <c r="U270" s="230">
        <v>1109278</v>
      </c>
      <c r="V270" s="258">
        <v>0</v>
      </c>
      <c r="W270" s="258">
        <v>0</v>
      </c>
      <c r="X270" s="258">
        <v>0</v>
      </c>
      <c r="Y270" s="258">
        <v>465278</v>
      </c>
    </row>
    <row r="271" spans="1:25" s="4" customFormat="1" ht="96" x14ac:dyDescent="0.3">
      <c r="A271" s="869"/>
      <c r="B271" s="856"/>
      <c r="C271" s="243" t="s">
        <v>1000</v>
      </c>
      <c r="D271" s="257" t="s">
        <v>550</v>
      </c>
      <c r="E271" s="257" t="s">
        <v>551</v>
      </c>
      <c r="F271" s="245" t="s">
        <v>998</v>
      </c>
      <c r="G271" s="257" t="s">
        <v>559</v>
      </c>
      <c r="H271" s="257">
        <v>0</v>
      </c>
      <c r="I271" s="257">
        <v>50</v>
      </c>
      <c r="J271" s="257">
        <v>50</v>
      </c>
      <c r="K271" s="257">
        <v>54</v>
      </c>
      <c r="L271" s="257">
        <v>67</v>
      </c>
      <c r="M271" s="257">
        <v>63</v>
      </c>
      <c r="N271" s="257">
        <v>54</v>
      </c>
      <c r="O271" s="257">
        <v>65</v>
      </c>
      <c r="P271" s="244"/>
      <c r="Q271" s="244"/>
      <c r="R271" s="244"/>
      <c r="S271" s="244"/>
      <c r="T271" s="244"/>
      <c r="U271" s="230">
        <v>1016345</v>
      </c>
      <c r="V271" s="258">
        <v>0</v>
      </c>
      <c r="W271" s="258">
        <v>0</v>
      </c>
      <c r="X271" s="258">
        <v>0</v>
      </c>
      <c r="Y271" s="258">
        <v>1015981</v>
      </c>
    </row>
    <row r="272" spans="1:25" s="4" customFormat="1" ht="240" x14ac:dyDescent="0.3">
      <c r="A272" s="863"/>
      <c r="B272" s="840"/>
      <c r="C272" s="243" t="s">
        <v>1001</v>
      </c>
      <c r="D272" s="257" t="s">
        <v>550</v>
      </c>
      <c r="E272" s="257" t="s">
        <v>273</v>
      </c>
      <c r="F272" s="245" t="s">
        <v>998</v>
      </c>
      <c r="G272" s="257" t="s">
        <v>559</v>
      </c>
      <c r="H272" s="257">
        <v>0</v>
      </c>
      <c r="I272" s="257">
        <v>32</v>
      </c>
      <c r="J272" s="257">
        <v>58</v>
      </c>
      <c r="K272" s="257"/>
      <c r="L272" s="257"/>
      <c r="M272" s="257"/>
      <c r="N272" s="257"/>
      <c r="O272" s="257"/>
      <c r="P272" s="244"/>
      <c r="Q272" s="244"/>
      <c r="R272" s="244"/>
      <c r="S272" s="244"/>
      <c r="T272" s="244"/>
      <c r="U272" s="230">
        <v>257365</v>
      </c>
      <c r="V272" s="258">
        <v>0</v>
      </c>
      <c r="W272" s="258">
        <v>0</v>
      </c>
      <c r="X272" s="258">
        <v>0</v>
      </c>
      <c r="Y272" s="258">
        <v>257365</v>
      </c>
    </row>
    <row r="273" spans="1:25" s="4" customFormat="1" ht="168" x14ac:dyDescent="0.3">
      <c r="A273" s="862" t="s">
        <v>560</v>
      </c>
      <c r="B273" s="804" t="s">
        <v>561</v>
      </c>
      <c r="C273" s="243" t="s">
        <v>562</v>
      </c>
      <c r="D273" s="257" t="s">
        <v>563</v>
      </c>
      <c r="E273" s="257" t="s">
        <v>124</v>
      </c>
      <c r="F273" s="245" t="s">
        <v>547</v>
      </c>
      <c r="G273" s="257" t="s">
        <v>564</v>
      </c>
      <c r="H273" s="257">
        <v>451</v>
      </c>
      <c r="I273" s="257">
        <v>461</v>
      </c>
      <c r="J273" s="257">
        <v>471</v>
      </c>
      <c r="K273" s="257">
        <v>481</v>
      </c>
      <c r="L273" s="257">
        <v>491</v>
      </c>
      <c r="M273" s="257">
        <v>501</v>
      </c>
      <c r="N273" s="257">
        <v>511</v>
      </c>
      <c r="O273" s="257"/>
      <c r="P273" s="244"/>
      <c r="Q273" s="244"/>
      <c r="R273" s="244"/>
      <c r="S273" s="244"/>
      <c r="T273" s="244"/>
      <c r="U273" s="230">
        <v>4022218</v>
      </c>
      <c r="V273" s="258">
        <v>0</v>
      </c>
      <c r="W273" s="258">
        <v>0</v>
      </c>
      <c r="X273" s="258">
        <v>0</v>
      </c>
      <c r="Y273" s="258">
        <v>3656218</v>
      </c>
    </row>
    <row r="274" spans="1:25" s="4" customFormat="1" ht="144" x14ac:dyDescent="0.3">
      <c r="A274" s="863"/>
      <c r="B274" s="805"/>
      <c r="C274" s="243" t="s">
        <v>565</v>
      </c>
      <c r="D274" s="257" t="s">
        <v>563</v>
      </c>
      <c r="E274" s="257">
        <v>2019</v>
      </c>
      <c r="F274" s="245" t="s">
        <v>566</v>
      </c>
      <c r="G274" s="257" t="s">
        <v>559</v>
      </c>
      <c r="H274" s="257">
        <v>0</v>
      </c>
      <c r="I274" s="257">
        <v>7</v>
      </c>
      <c r="J274" s="257"/>
      <c r="K274" s="257"/>
      <c r="L274" s="257"/>
      <c r="M274" s="257"/>
      <c r="N274" s="257"/>
      <c r="O274" s="257"/>
      <c r="P274" s="244"/>
      <c r="Q274" s="244"/>
      <c r="R274" s="244"/>
      <c r="S274" s="244"/>
      <c r="T274" s="244"/>
      <c r="U274" s="230">
        <v>14000</v>
      </c>
      <c r="V274" s="258">
        <v>0</v>
      </c>
      <c r="W274" s="258">
        <v>0</v>
      </c>
      <c r="X274" s="258">
        <v>0</v>
      </c>
      <c r="Y274" s="258">
        <v>14000</v>
      </c>
    </row>
    <row r="275" spans="1:25" s="4" customFormat="1" ht="48" x14ac:dyDescent="0.3">
      <c r="A275" s="862" t="s">
        <v>567</v>
      </c>
      <c r="B275" s="804" t="s">
        <v>568</v>
      </c>
      <c r="C275" s="242" t="s">
        <v>569</v>
      </c>
      <c r="D275" s="257" t="s">
        <v>570</v>
      </c>
      <c r="E275" s="257" t="s">
        <v>322</v>
      </c>
      <c r="F275" s="245" t="s">
        <v>510</v>
      </c>
      <c r="G275" s="257" t="s">
        <v>62</v>
      </c>
      <c r="H275" s="257">
        <v>77.8</v>
      </c>
      <c r="I275" s="257">
        <v>86</v>
      </c>
      <c r="J275" s="257">
        <v>81.8</v>
      </c>
      <c r="K275" s="257">
        <v>81.8</v>
      </c>
      <c r="L275" s="257">
        <v>77.8</v>
      </c>
      <c r="M275" s="257">
        <v>70.2</v>
      </c>
      <c r="N275" s="257">
        <v>63.3</v>
      </c>
      <c r="O275" s="257">
        <v>56.9</v>
      </c>
      <c r="P275" s="244"/>
      <c r="Q275" s="244"/>
      <c r="R275" s="244"/>
      <c r="S275" s="244"/>
      <c r="T275" s="244"/>
      <c r="U275" s="230">
        <v>853620</v>
      </c>
      <c r="V275" s="258">
        <v>0</v>
      </c>
      <c r="W275" s="258">
        <v>0</v>
      </c>
      <c r="X275" s="258">
        <v>0</v>
      </c>
      <c r="Y275" s="258">
        <v>0</v>
      </c>
    </row>
    <row r="276" spans="1:25" s="4" customFormat="1" ht="96" x14ac:dyDescent="0.3">
      <c r="A276" s="863"/>
      <c r="B276" s="805"/>
      <c r="C276" s="242" t="s">
        <v>571</v>
      </c>
      <c r="D276" s="257" t="s">
        <v>572</v>
      </c>
      <c r="E276" s="257">
        <v>2024</v>
      </c>
      <c r="F276" s="245" t="s">
        <v>573</v>
      </c>
      <c r="G276" s="257" t="s">
        <v>62</v>
      </c>
      <c r="H276" s="257"/>
      <c r="I276" s="257"/>
      <c r="J276" s="257"/>
      <c r="K276" s="257"/>
      <c r="L276" s="65">
        <v>1</v>
      </c>
      <c r="M276" s="65">
        <v>7</v>
      </c>
      <c r="N276" s="65">
        <v>92</v>
      </c>
      <c r="O276" s="257"/>
      <c r="P276" s="244"/>
      <c r="Q276" s="244"/>
      <c r="R276" s="244"/>
      <c r="S276" s="244"/>
      <c r="T276" s="244"/>
      <c r="U276" s="230">
        <v>567000</v>
      </c>
      <c r="V276" s="258">
        <v>0</v>
      </c>
      <c r="W276" s="258">
        <v>0</v>
      </c>
      <c r="X276" s="258">
        <v>0</v>
      </c>
      <c r="Y276" s="258">
        <v>0</v>
      </c>
    </row>
    <row r="277" spans="1:25" ht="24" x14ac:dyDescent="0.3">
      <c r="A277" s="66" t="s">
        <v>574</v>
      </c>
      <c r="B277" s="945" t="s">
        <v>575</v>
      </c>
      <c r="C277" s="945"/>
      <c r="D277" s="945"/>
      <c r="E277" s="945"/>
      <c r="F277" s="945"/>
      <c r="G277" s="945"/>
      <c r="H277" s="945"/>
      <c r="I277" s="945"/>
      <c r="J277" s="945"/>
      <c r="K277" s="945"/>
      <c r="L277" s="945"/>
      <c r="M277" s="945"/>
      <c r="N277" s="945"/>
      <c r="O277" s="945"/>
      <c r="P277" s="945"/>
      <c r="Q277" s="945"/>
      <c r="R277" s="945"/>
      <c r="S277" s="945"/>
      <c r="T277" s="945"/>
      <c r="U277" s="51"/>
      <c r="V277" s="52"/>
      <c r="W277" s="52"/>
      <c r="X277" s="52"/>
      <c r="Y277" s="52"/>
    </row>
    <row r="278" spans="1:25" s="4" customFormat="1" ht="320.25" customHeight="1" x14ac:dyDescent="0.3">
      <c r="A278" s="758" t="s">
        <v>576</v>
      </c>
      <c r="B278" s="843" t="s">
        <v>577</v>
      </c>
      <c r="C278" s="843" t="s">
        <v>578</v>
      </c>
      <c r="D278" s="759" t="s">
        <v>1133</v>
      </c>
      <c r="E278" s="720">
        <v>2019</v>
      </c>
      <c r="F278" s="841" t="s">
        <v>579</v>
      </c>
      <c r="G278" s="720" t="s">
        <v>117</v>
      </c>
      <c r="H278" s="720"/>
      <c r="I278" s="720" t="s">
        <v>118</v>
      </c>
      <c r="J278" s="720"/>
      <c r="K278" s="720"/>
      <c r="L278" s="720"/>
      <c r="M278" s="720"/>
      <c r="N278" s="720"/>
      <c r="O278" s="720"/>
      <c r="P278" s="720"/>
      <c r="Q278" s="720"/>
      <c r="R278" s="720"/>
      <c r="S278" s="720"/>
      <c r="T278" s="720"/>
      <c r="U278" s="773">
        <v>5000</v>
      </c>
      <c r="V278" s="791">
        <v>0</v>
      </c>
      <c r="W278" s="791">
        <v>0</v>
      </c>
      <c r="X278" s="791">
        <v>0</v>
      </c>
      <c r="Y278" s="791">
        <v>5000</v>
      </c>
    </row>
    <row r="279" spans="1:25" s="4" customFormat="1" ht="307.5" customHeight="1" x14ac:dyDescent="0.3">
      <c r="A279" s="758"/>
      <c r="B279" s="843"/>
      <c r="C279" s="843"/>
      <c r="D279" s="759"/>
      <c r="E279" s="720"/>
      <c r="F279" s="841"/>
      <c r="G279" s="720"/>
      <c r="H279" s="720"/>
      <c r="I279" s="720"/>
      <c r="J279" s="720"/>
      <c r="K279" s="720"/>
      <c r="L279" s="720"/>
      <c r="M279" s="720"/>
      <c r="N279" s="720"/>
      <c r="O279" s="720"/>
      <c r="P279" s="720"/>
      <c r="Q279" s="720"/>
      <c r="R279" s="720"/>
      <c r="S279" s="720"/>
      <c r="T279" s="720"/>
      <c r="U279" s="774"/>
      <c r="V279" s="792"/>
      <c r="W279" s="792"/>
      <c r="X279" s="792"/>
      <c r="Y279" s="792"/>
    </row>
    <row r="280" spans="1:25" s="4" customFormat="1" ht="192" x14ac:dyDescent="0.3">
      <c r="A280" s="249" t="s">
        <v>583</v>
      </c>
      <c r="B280" s="250" t="s">
        <v>580</v>
      </c>
      <c r="C280" s="250" t="s">
        <v>581</v>
      </c>
      <c r="D280" s="244" t="s">
        <v>1133</v>
      </c>
      <c r="E280" s="224">
        <v>2019</v>
      </c>
      <c r="F280" s="74" t="s">
        <v>582</v>
      </c>
      <c r="G280" s="224" t="s">
        <v>62</v>
      </c>
      <c r="H280" s="224"/>
      <c r="I280" s="43">
        <v>100</v>
      </c>
      <c r="J280" s="43"/>
      <c r="K280" s="43"/>
      <c r="L280" s="43"/>
      <c r="M280" s="43"/>
      <c r="N280" s="43"/>
      <c r="O280" s="43"/>
      <c r="P280" s="43"/>
      <c r="Q280" s="43"/>
      <c r="R280" s="43"/>
      <c r="S280" s="43"/>
      <c r="T280" s="43"/>
      <c r="U280" s="230">
        <v>13000</v>
      </c>
      <c r="V280" s="258">
        <v>0</v>
      </c>
      <c r="W280" s="258">
        <v>0</v>
      </c>
      <c r="X280" s="258">
        <v>0</v>
      </c>
      <c r="Y280" s="258">
        <v>13000</v>
      </c>
    </row>
    <row r="281" spans="1:25" s="4" customFormat="1" ht="99" customHeight="1" x14ac:dyDescent="0.3">
      <c r="A281" s="844" t="s">
        <v>585</v>
      </c>
      <c r="B281" s="839" t="s">
        <v>584</v>
      </c>
      <c r="C281" s="839" t="s">
        <v>1349</v>
      </c>
      <c r="D281" s="714" t="s">
        <v>1133</v>
      </c>
      <c r="E281" s="716" t="s">
        <v>52</v>
      </c>
      <c r="F281" s="245" t="s">
        <v>153</v>
      </c>
      <c r="G281" s="224" t="s">
        <v>74</v>
      </c>
      <c r="H281" s="224"/>
      <c r="I281" s="43">
        <v>1000</v>
      </c>
      <c r="J281" s="43">
        <v>1000</v>
      </c>
      <c r="K281" s="43">
        <v>1100</v>
      </c>
      <c r="L281" s="43">
        <v>1200</v>
      </c>
      <c r="M281" s="43">
        <v>1300</v>
      </c>
      <c r="N281" s="43">
        <v>1400</v>
      </c>
      <c r="O281" s="43">
        <v>1500</v>
      </c>
      <c r="P281" s="43">
        <v>1600</v>
      </c>
      <c r="Q281" s="43">
        <v>1700</v>
      </c>
      <c r="R281" s="43">
        <v>1800</v>
      </c>
      <c r="S281" s="43">
        <v>1900</v>
      </c>
      <c r="T281" s="43">
        <v>2000</v>
      </c>
      <c r="U281" s="773">
        <v>10000</v>
      </c>
      <c r="V281" s="791">
        <v>0</v>
      </c>
      <c r="W281" s="791">
        <v>0</v>
      </c>
      <c r="X281" s="791">
        <v>0</v>
      </c>
      <c r="Y281" s="791">
        <v>10000</v>
      </c>
    </row>
    <row r="282" spans="1:25" s="4" customFormat="1" ht="75.75" customHeight="1" x14ac:dyDescent="0.3">
      <c r="A282" s="845"/>
      <c r="B282" s="840"/>
      <c r="C282" s="840"/>
      <c r="D282" s="715"/>
      <c r="E282" s="717"/>
      <c r="F282" s="245" t="s">
        <v>940</v>
      </c>
      <c r="G282" s="224" t="s">
        <v>31</v>
      </c>
      <c r="H282" s="224"/>
      <c r="I282" s="43">
        <v>4</v>
      </c>
      <c r="J282" s="43">
        <v>8</v>
      </c>
      <c r="K282" s="43">
        <v>12</v>
      </c>
      <c r="L282" s="43">
        <v>16</v>
      </c>
      <c r="M282" s="43">
        <v>20</v>
      </c>
      <c r="N282" s="43">
        <v>24</v>
      </c>
      <c r="O282" s="43">
        <v>28</v>
      </c>
      <c r="P282" s="43">
        <v>32</v>
      </c>
      <c r="Q282" s="43">
        <v>36</v>
      </c>
      <c r="R282" s="43">
        <v>40</v>
      </c>
      <c r="S282" s="43">
        <v>44</v>
      </c>
      <c r="T282" s="43">
        <v>48</v>
      </c>
      <c r="U282" s="774"/>
      <c r="V282" s="792"/>
      <c r="W282" s="792"/>
      <c r="X282" s="792"/>
      <c r="Y282" s="792"/>
    </row>
    <row r="283" spans="1:25" s="4" customFormat="1" ht="96" x14ac:dyDescent="0.3">
      <c r="A283" s="249" t="s">
        <v>587</v>
      </c>
      <c r="B283" s="250" t="s">
        <v>586</v>
      </c>
      <c r="C283" s="250" t="s">
        <v>1350</v>
      </c>
      <c r="D283" s="236" t="s">
        <v>1133</v>
      </c>
      <c r="E283" s="224" t="s">
        <v>52</v>
      </c>
      <c r="F283" s="245" t="s">
        <v>153</v>
      </c>
      <c r="G283" s="224" t="s">
        <v>74</v>
      </c>
      <c r="H283" s="224"/>
      <c r="I283" s="43">
        <v>400</v>
      </c>
      <c r="J283" s="43">
        <v>400</v>
      </c>
      <c r="K283" s="43">
        <v>400</v>
      </c>
      <c r="L283" s="43">
        <v>400</v>
      </c>
      <c r="M283" s="43">
        <v>400</v>
      </c>
      <c r="N283" s="43">
        <v>400</v>
      </c>
      <c r="O283" s="43">
        <v>400</v>
      </c>
      <c r="P283" s="43">
        <v>400</v>
      </c>
      <c r="Q283" s="43">
        <v>400</v>
      </c>
      <c r="R283" s="43">
        <v>400</v>
      </c>
      <c r="S283" s="43">
        <v>400</v>
      </c>
      <c r="T283" s="43">
        <v>400</v>
      </c>
      <c r="U283" s="230">
        <v>100</v>
      </c>
      <c r="V283" s="258">
        <v>0</v>
      </c>
      <c r="W283" s="258">
        <v>0</v>
      </c>
      <c r="X283" s="258">
        <v>0</v>
      </c>
      <c r="Y283" s="258">
        <v>100</v>
      </c>
    </row>
    <row r="284" spans="1:25" s="4" customFormat="1" ht="144" x14ac:dyDescent="0.3">
      <c r="A284" s="249" t="s">
        <v>591</v>
      </c>
      <c r="B284" s="250" t="s">
        <v>588</v>
      </c>
      <c r="C284" s="250" t="s">
        <v>589</v>
      </c>
      <c r="D284" s="236" t="s">
        <v>1133</v>
      </c>
      <c r="E284" s="224">
        <v>2019</v>
      </c>
      <c r="F284" s="74" t="s">
        <v>590</v>
      </c>
      <c r="G284" s="224" t="s">
        <v>117</v>
      </c>
      <c r="H284" s="224"/>
      <c r="I284" s="43" t="s">
        <v>118</v>
      </c>
      <c r="J284" s="43"/>
      <c r="K284" s="43"/>
      <c r="L284" s="43"/>
      <c r="M284" s="43"/>
      <c r="N284" s="43"/>
      <c r="O284" s="43"/>
      <c r="P284" s="43"/>
      <c r="Q284" s="43"/>
      <c r="R284" s="43"/>
      <c r="S284" s="43"/>
      <c r="T284" s="43"/>
      <c r="U284" s="230">
        <v>15000</v>
      </c>
      <c r="V284" s="258">
        <v>0</v>
      </c>
      <c r="W284" s="258">
        <v>0</v>
      </c>
      <c r="X284" s="258">
        <v>0</v>
      </c>
      <c r="Y284" s="258">
        <v>15000</v>
      </c>
    </row>
    <row r="285" spans="1:25" s="4" customFormat="1" ht="48" x14ac:dyDescent="0.3">
      <c r="A285" s="758" t="s">
        <v>597</v>
      </c>
      <c r="B285" s="843" t="s">
        <v>592</v>
      </c>
      <c r="C285" s="839" t="s">
        <v>593</v>
      </c>
      <c r="D285" s="236" t="s">
        <v>1133</v>
      </c>
      <c r="E285" s="889" t="s">
        <v>594</v>
      </c>
      <c r="F285" s="245" t="s">
        <v>153</v>
      </c>
      <c r="G285" s="224" t="s">
        <v>74</v>
      </c>
      <c r="H285" s="224"/>
      <c r="I285" s="43"/>
      <c r="J285" s="43"/>
      <c r="K285" s="43"/>
      <c r="L285" s="43"/>
      <c r="M285" s="43"/>
      <c r="N285" s="43"/>
      <c r="O285" s="43"/>
      <c r="P285" s="43"/>
      <c r="Q285" s="43"/>
      <c r="R285" s="43"/>
      <c r="S285" s="43"/>
      <c r="T285" s="43"/>
      <c r="U285" s="230">
        <v>0</v>
      </c>
      <c r="V285" s="258">
        <v>0</v>
      </c>
      <c r="W285" s="258">
        <v>0</v>
      </c>
      <c r="X285" s="258">
        <v>0</v>
      </c>
      <c r="Y285" s="258">
        <v>0</v>
      </c>
    </row>
    <row r="286" spans="1:25" s="4" customFormat="1" ht="121.5" customHeight="1" x14ac:dyDescent="0.3">
      <c r="A286" s="758"/>
      <c r="B286" s="843"/>
      <c r="C286" s="856"/>
      <c r="D286" s="42" t="s">
        <v>28</v>
      </c>
      <c r="E286" s="890"/>
      <c r="F286" s="74" t="s">
        <v>595</v>
      </c>
      <c r="G286" s="224" t="s">
        <v>117</v>
      </c>
      <c r="H286" s="224"/>
      <c r="I286" s="43" t="s">
        <v>118</v>
      </c>
      <c r="J286" s="43"/>
      <c r="K286" s="43"/>
      <c r="L286" s="43"/>
      <c r="M286" s="43"/>
      <c r="N286" s="224"/>
      <c r="O286" s="224"/>
      <c r="P286" s="224"/>
      <c r="Q286" s="224"/>
      <c r="R286" s="224"/>
      <c r="S286" s="224"/>
      <c r="T286" s="224"/>
      <c r="U286" s="230">
        <v>400</v>
      </c>
      <c r="V286" s="258">
        <v>0</v>
      </c>
      <c r="W286" s="258">
        <v>0</v>
      </c>
      <c r="X286" s="258">
        <v>0</v>
      </c>
      <c r="Y286" s="258">
        <v>400</v>
      </c>
    </row>
    <row r="287" spans="1:25" s="4" customFormat="1" ht="83.25" customHeight="1" x14ac:dyDescent="0.3">
      <c r="A287" s="758"/>
      <c r="B287" s="843"/>
      <c r="C287" s="840"/>
      <c r="D287" s="42" t="s">
        <v>28</v>
      </c>
      <c r="E287" s="891"/>
      <c r="F287" s="61" t="s">
        <v>596</v>
      </c>
      <c r="G287" s="224" t="s">
        <v>117</v>
      </c>
      <c r="H287" s="224"/>
      <c r="I287" s="43"/>
      <c r="J287" s="43"/>
      <c r="K287" s="43"/>
      <c r="L287" s="43"/>
      <c r="M287" s="43" t="s">
        <v>118</v>
      </c>
      <c r="N287" s="224"/>
      <c r="O287" s="224"/>
      <c r="P287" s="224"/>
      <c r="Q287" s="224"/>
      <c r="R287" s="224"/>
      <c r="S287" s="224"/>
      <c r="T287" s="224"/>
      <c r="U287" s="230">
        <v>0</v>
      </c>
      <c r="V287" s="258">
        <v>0</v>
      </c>
      <c r="W287" s="258">
        <v>0</v>
      </c>
      <c r="X287" s="258">
        <v>0</v>
      </c>
      <c r="Y287" s="258">
        <v>0</v>
      </c>
    </row>
    <row r="288" spans="1:25" s="4" customFormat="1" ht="123" x14ac:dyDescent="0.3">
      <c r="A288" s="244" t="s">
        <v>598</v>
      </c>
      <c r="B288" s="250" t="s">
        <v>1195</v>
      </c>
      <c r="C288" s="250" t="s">
        <v>1201</v>
      </c>
      <c r="D288" s="244" t="s">
        <v>1129</v>
      </c>
      <c r="E288" s="224" t="s">
        <v>36</v>
      </c>
      <c r="F288" s="74" t="s">
        <v>1115</v>
      </c>
      <c r="G288" s="224" t="s">
        <v>117</v>
      </c>
      <c r="H288" s="224"/>
      <c r="I288" s="224"/>
      <c r="J288" s="224"/>
      <c r="K288" s="224"/>
      <c r="L288" s="224"/>
      <c r="M288" s="224"/>
      <c r="N288" s="224"/>
      <c r="O288" s="224" t="s">
        <v>118</v>
      </c>
      <c r="P288" s="224"/>
      <c r="Q288" s="224"/>
      <c r="R288" s="224"/>
      <c r="S288" s="224"/>
      <c r="T288" s="224"/>
      <c r="U288" s="230">
        <v>393062.40000000002</v>
      </c>
      <c r="V288" s="258">
        <v>143062.39999999999</v>
      </c>
      <c r="W288" s="258">
        <v>0</v>
      </c>
      <c r="X288" s="258">
        <v>0</v>
      </c>
      <c r="Y288" s="258">
        <v>50000</v>
      </c>
    </row>
    <row r="289" spans="1:25" s="4" customFormat="1" ht="72" x14ac:dyDescent="0.3">
      <c r="A289" s="244" t="s">
        <v>600</v>
      </c>
      <c r="B289" s="250" t="s">
        <v>599</v>
      </c>
      <c r="C289" s="243" t="s">
        <v>1139</v>
      </c>
      <c r="D289" s="257" t="s">
        <v>1133</v>
      </c>
      <c r="E289" s="43" t="s">
        <v>152</v>
      </c>
      <c r="F289" s="74" t="s">
        <v>1217</v>
      </c>
      <c r="G289" s="224" t="s">
        <v>74</v>
      </c>
      <c r="H289" s="224"/>
      <c r="I289" s="224"/>
      <c r="J289" s="126"/>
      <c r="K289" s="100"/>
      <c r="L289" s="100">
        <v>6000</v>
      </c>
      <c r="M289" s="100">
        <v>10000</v>
      </c>
      <c r="N289" s="100">
        <v>10000</v>
      </c>
      <c r="O289" s="100">
        <v>10000</v>
      </c>
      <c r="P289" s="100">
        <v>10000</v>
      </c>
      <c r="Q289" s="100">
        <v>10000</v>
      </c>
      <c r="R289" s="100">
        <v>10000</v>
      </c>
      <c r="S289" s="100">
        <v>10000</v>
      </c>
      <c r="T289" s="100">
        <v>10000</v>
      </c>
      <c r="U289" s="230">
        <v>22000</v>
      </c>
      <c r="V289" s="258">
        <v>0</v>
      </c>
      <c r="W289" s="258">
        <v>0</v>
      </c>
      <c r="X289" s="258">
        <v>0</v>
      </c>
      <c r="Y289" s="258">
        <v>22000</v>
      </c>
    </row>
    <row r="290" spans="1:25" s="4" customFormat="1" ht="168" x14ac:dyDescent="0.3">
      <c r="A290" s="244" t="s">
        <v>830</v>
      </c>
      <c r="B290" s="250" t="s">
        <v>601</v>
      </c>
      <c r="C290" s="250" t="s">
        <v>1351</v>
      </c>
      <c r="D290" s="244" t="s">
        <v>602</v>
      </c>
      <c r="E290" s="224" t="s">
        <v>152</v>
      </c>
      <c r="F290" s="74" t="s">
        <v>603</v>
      </c>
      <c r="G290" s="224" t="s">
        <v>117</v>
      </c>
      <c r="H290" s="224"/>
      <c r="I290" s="224" t="s">
        <v>118</v>
      </c>
      <c r="J290" s="224" t="s">
        <v>118</v>
      </c>
      <c r="K290" s="224" t="s">
        <v>118</v>
      </c>
      <c r="L290" s="224"/>
      <c r="M290" s="224"/>
      <c r="N290" s="224"/>
      <c r="O290" s="224"/>
      <c r="P290" s="224"/>
      <c r="Q290" s="224"/>
      <c r="R290" s="224"/>
      <c r="S290" s="224"/>
      <c r="T290" s="224"/>
      <c r="U290" s="230">
        <v>450</v>
      </c>
      <c r="V290" s="258">
        <v>450</v>
      </c>
      <c r="W290" s="258">
        <v>0</v>
      </c>
      <c r="X290" s="258">
        <v>0</v>
      </c>
      <c r="Y290" s="258">
        <v>0</v>
      </c>
    </row>
    <row r="291" spans="1:25" s="4" customFormat="1" ht="144" x14ac:dyDescent="0.3">
      <c r="A291" s="244" t="s">
        <v>928</v>
      </c>
      <c r="B291" s="250" t="s">
        <v>929</v>
      </c>
      <c r="C291" s="250" t="s">
        <v>1352</v>
      </c>
      <c r="D291" s="244" t="s">
        <v>482</v>
      </c>
      <c r="E291" s="224" t="s">
        <v>330</v>
      </c>
      <c r="F291" s="74" t="s">
        <v>1150</v>
      </c>
      <c r="G291" s="224"/>
      <c r="H291" s="224"/>
      <c r="I291" s="224"/>
      <c r="J291" s="224">
        <v>1</v>
      </c>
      <c r="K291" s="224">
        <v>1</v>
      </c>
      <c r="L291" s="224"/>
      <c r="M291" s="224"/>
      <c r="N291" s="224"/>
      <c r="O291" s="224"/>
      <c r="P291" s="224"/>
      <c r="Q291" s="224"/>
      <c r="R291" s="224"/>
      <c r="S291" s="224"/>
      <c r="T291" s="224"/>
      <c r="U291" s="230">
        <v>6000</v>
      </c>
      <c r="V291" s="258">
        <v>6000</v>
      </c>
      <c r="W291" s="258">
        <v>0</v>
      </c>
      <c r="X291" s="258">
        <v>0</v>
      </c>
      <c r="Y291" s="258">
        <v>0</v>
      </c>
    </row>
    <row r="292" spans="1:25" s="4" customFormat="1" ht="126.75" customHeight="1" x14ac:dyDescent="0.3">
      <c r="A292" s="714" t="s">
        <v>937</v>
      </c>
      <c r="B292" s="839" t="s">
        <v>935</v>
      </c>
      <c r="C292" s="839" t="s">
        <v>1353</v>
      </c>
      <c r="D292" s="714" t="s">
        <v>1151</v>
      </c>
      <c r="E292" s="716" t="s">
        <v>936</v>
      </c>
      <c r="F292" s="74" t="s">
        <v>938</v>
      </c>
      <c r="G292" s="224" t="s">
        <v>62</v>
      </c>
      <c r="H292" s="224" t="s">
        <v>140</v>
      </c>
      <c r="I292" s="83">
        <f>67/123*100</f>
        <v>54.471544715447152</v>
      </c>
      <c r="J292" s="83"/>
      <c r="K292" s="83"/>
      <c r="L292" s="224"/>
      <c r="M292" s="224"/>
      <c r="N292" s="224"/>
      <c r="O292" s="224"/>
      <c r="P292" s="224"/>
      <c r="Q292" s="224"/>
      <c r="R292" s="224"/>
      <c r="S292" s="224"/>
      <c r="T292" s="224"/>
      <c r="U292" s="773">
        <v>63340.2</v>
      </c>
      <c r="V292" s="791">
        <v>3116.7999999999997</v>
      </c>
      <c r="W292" s="791">
        <v>20497.3</v>
      </c>
      <c r="X292" s="791">
        <v>37852.9</v>
      </c>
      <c r="Y292" s="791">
        <v>1873.2</v>
      </c>
    </row>
    <row r="293" spans="1:25" s="4" customFormat="1" ht="144" x14ac:dyDescent="0.3">
      <c r="A293" s="715"/>
      <c r="B293" s="840"/>
      <c r="C293" s="840"/>
      <c r="D293" s="715"/>
      <c r="E293" s="717"/>
      <c r="F293" s="74" t="s">
        <v>939</v>
      </c>
      <c r="G293" s="224" t="s">
        <v>62</v>
      </c>
      <c r="H293" s="224" t="s">
        <v>140</v>
      </c>
      <c r="I293" s="83">
        <v>34.5</v>
      </c>
      <c r="J293" s="83"/>
      <c r="K293" s="83"/>
      <c r="L293" s="224"/>
      <c r="M293" s="224"/>
      <c r="N293" s="224"/>
      <c r="O293" s="224"/>
      <c r="P293" s="224"/>
      <c r="Q293" s="224"/>
      <c r="R293" s="224"/>
      <c r="S293" s="224"/>
      <c r="T293" s="224"/>
      <c r="U293" s="774"/>
      <c r="V293" s="792"/>
      <c r="W293" s="792"/>
      <c r="X293" s="792"/>
      <c r="Y293" s="792"/>
    </row>
    <row r="294" spans="1:25" s="4" customFormat="1" ht="72" x14ac:dyDescent="0.3">
      <c r="A294" s="244" t="s">
        <v>942</v>
      </c>
      <c r="B294" s="250" t="s">
        <v>944</v>
      </c>
      <c r="C294" s="250" t="s">
        <v>1354</v>
      </c>
      <c r="D294" s="244" t="s">
        <v>969</v>
      </c>
      <c r="E294" s="224" t="s">
        <v>273</v>
      </c>
      <c r="F294" s="74" t="s">
        <v>1040</v>
      </c>
      <c r="G294" s="224" t="s">
        <v>31</v>
      </c>
      <c r="H294" s="224"/>
      <c r="I294" s="84"/>
      <c r="J294" s="84">
        <v>1</v>
      </c>
      <c r="K294" s="83"/>
      <c r="L294" s="224"/>
      <c r="M294" s="224"/>
      <c r="N294" s="224"/>
      <c r="O294" s="224"/>
      <c r="P294" s="224"/>
      <c r="Q294" s="224"/>
      <c r="R294" s="224"/>
      <c r="S294" s="224"/>
      <c r="T294" s="224"/>
      <c r="U294" s="230">
        <v>5000</v>
      </c>
      <c r="V294" s="258">
        <v>5000</v>
      </c>
      <c r="W294" s="258">
        <v>0</v>
      </c>
      <c r="X294" s="258">
        <v>0</v>
      </c>
      <c r="Y294" s="258">
        <v>0</v>
      </c>
    </row>
    <row r="295" spans="1:25" s="4" customFormat="1" ht="96" x14ac:dyDescent="0.3">
      <c r="A295" s="244" t="s">
        <v>943</v>
      </c>
      <c r="B295" s="250" t="s">
        <v>945</v>
      </c>
      <c r="C295" s="250" t="s">
        <v>1355</v>
      </c>
      <c r="D295" s="244" t="s">
        <v>970</v>
      </c>
      <c r="E295" s="224">
        <v>2019</v>
      </c>
      <c r="F295" s="74" t="s">
        <v>946</v>
      </c>
      <c r="G295" s="224" t="s">
        <v>31</v>
      </c>
      <c r="H295" s="224"/>
      <c r="I295" s="84">
        <v>1</v>
      </c>
      <c r="J295" s="84"/>
      <c r="K295" s="83"/>
      <c r="L295" s="224"/>
      <c r="M295" s="224"/>
      <c r="N295" s="224"/>
      <c r="O295" s="224"/>
      <c r="P295" s="224"/>
      <c r="Q295" s="224"/>
      <c r="R295" s="224"/>
      <c r="S295" s="224"/>
      <c r="T295" s="224"/>
      <c r="U295" s="230">
        <v>12627</v>
      </c>
      <c r="V295" s="258">
        <v>12627</v>
      </c>
      <c r="W295" s="258">
        <v>0</v>
      </c>
      <c r="X295" s="258">
        <v>0</v>
      </c>
      <c r="Y295" s="258">
        <v>0</v>
      </c>
    </row>
    <row r="296" spans="1:25" s="10" customFormat="1" ht="24" x14ac:dyDescent="0.3">
      <c r="A296" s="85" t="s">
        <v>604</v>
      </c>
      <c r="B296" s="942" t="s">
        <v>605</v>
      </c>
      <c r="C296" s="943"/>
      <c r="D296" s="943"/>
      <c r="E296" s="944"/>
      <c r="F296" s="86"/>
      <c r="G296" s="87"/>
      <c r="H296" s="87"/>
      <c r="I296" s="88"/>
      <c r="J296" s="88"/>
      <c r="K296" s="88"/>
      <c r="L296" s="88"/>
      <c r="M296" s="88"/>
      <c r="N296" s="88"/>
      <c r="O296" s="88"/>
      <c r="P296" s="88"/>
      <c r="Q296" s="88"/>
      <c r="R296" s="88"/>
      <c r="S296" s="88"/>
      <c r="T296" s="88"/>
      <c r="U296" s="56"/>
      <c r="V296" s="57"/>
      <c r="W296" s="57"/>
      <c r="X296" s="57"/>
      <c r="Y296" s="57"/>
    </row>
    <row r="297" spans="1:25" s="8" customFormat="1" ht="24" x14ac:dyDescent="0.3">
      <c r="A297" s="90" t="s">
        <v>606</v>
      </c>
      <c r="B297" s="931" t="s">
        <v>607</v>
      </c>
      <c r="C297" s="931"/>
      <c r="D297" s="931"/>
      <c r="E297" s="931"/>
      <c r="F297" s="931"/>
      <c r="G297" s="931"/>
      <c r="H297" s="931"/>
      <c r="I297" s="931"/>
      <c r="J297" s="931"/>
      <c r="K297" s="931"/>
      <c r="L297" s="931"/>
      <c r="M297" s="931"/>
      <c r="N297" s="931"/>
      <c r="O297" s="931"/>
      <c r="P297" s="931"/>
      <c r="Q297" s="931"/>
      <c r="R297" s="931"/>
      <c r="S297" s="931"/>
      <c r="T297" s="931"/>
      <c r="U297" s="51"/>
      <c r="V297" s="52"/>
      <c r="W297" s="52"/>
      <c r="X297" s="52"/>
      <c r="Y297" s="52"/>
    </row>
    <row r="298" spans="1:25" s="4" customFormat="1" ht="144" x14ac:dyDescent="0.3">
      <c r="A298" s="241" t="s">
        <v>608</v>
      </c>
      <c r="B298" s="250" t="s">
        <v>609</v>
      </c>
      <c r="C298" s="250" t="s">
        <v>610</v>
      </c>
      <c r="D298" s="244" t="s">
        <v>468</v>
      </c>
      <c r="E298" s="244" t="s">
        <v>611</v>
      </c>
      <c r="F298" s="716" t="s">
        <v>954</v>
      </c>
      <c r="G298" s="716" t="s">
        <v>955</v>
      </c>
      <c r="H298" s="716">
        <v>1893.7</v>
      </c>
      <c r="I298" s="752">
        <v>454</v>
      </c>
      <c r="J298" s="752">
        <v>454</v>
      </c>
      <c r="K298" s="752">
        <v>454</v>
      </c>
      <c r="L298" s="752">
        <v>454</v>
      </c>
      <c r="M298" s="752">
        <v>353.5</v>
      </c>
      <c r="N298" s="752">
        <v>353.5</v>
      </c>
      <c r="O298" s="752">
        <v>353.5</v>
      </c>
      <c r="P298" s="752">
        <v>353.5</v>
      </c>
      <c r="Q298" s="752">
        <v>353.5</v>
      </c>
      <c r="R298" s="752">
        <v>353.5</v>
      </c>
      <c r="S298" s="752">
        <v>353.5</v>
      </c>
      <c r="T298" s="752">
        <v>353.5</v>
      </c>
      <c r="U298" s="230">
        <v>0</v>
      </c>
      <c r="V298" s="258">
        <v>0</v>
      </c>
      <c r="W298" s="258">
        <v>0</v>
      </c>
      <c r="X298" s="258">
        <v>0</v>
      </c>
      <c r="Y298" s="258">
        <v>0</v>
      </c>
    </row>
    <row r="299" spans="1:25" s="4" customFormat="1" ht="240" x14ac:dyDescent="0.3">
      <c r="A299" s="241" t="s">
        <v>612</v>
      </c>
      <c r="B299" s="250" t="s">
        <v>613</v>
      </c>
      <c r="C299" s="250" t="s">
        <v>1356</v>
      </c>
      <c r="D299" s="244" t="s">
        <v>468</v>
      </c>
      <c r="E299" s="244" t="s">
        <v>614</v>
      </c>
      <c r="F299" s="717"/>
      <c r="G299" s="717"/>
      <c r="H299" s="717"/>
      <c r="I299" s="753"/>
      <c r="J299" s="753"/>
      <c r="K299" s="753"/>
      <c r="L299" s="753"/>
      <c r="M299" s="753"/>
      <c r="N299" s="753"/>
      <c r="O299" s="753"/>
      <c r="P299" s="753"/>
      <c r="Q299" s="753"/>
      <c r="R299" s="753"/>
      <c r="S299" s="753"/>
      <c r="T299" s="753"/>
      <c r="U299" s="230">
        <v>0</v>
      </c>
      <c r="V299" s="258">
        <v>0</v>
      </c>
      <c r="W299" s="258">
        <v>0</v>
      </c>
      <c r="X299" s="258">
        <v>0</v>
      </c>
      <c r="Y299" s="258">
        <v>0</v>
      </c>
    </row>
    <row r="300" spans="1:25" s="4" customFormat="1" ht="240" x14ac:dyDescent="0.3">
      <c r="A300" s="241" t="s">
        <v>615</v>
      </c>
      <c r="B300" s="250" t="s">
        <v>616</v>
      </c>
      <c r="C300" s="243" t="s">
        <v>617</v>
      </c>
      <c r="D300" s="244" t="s">
        <v>468</v>
      </c>
      <c r="E300" s="244" t="s">
        <v>618</v>
      </c>
      <c r="F300" s="74" t="s">
        <v>1170</v>
      </c>
      <c r="G300" s="244" t="s">
        <v>619</v>
      </c>
      <c r="H300" s="244"/>
      <c r="I300" s="244"/>
      <c r="J300" s="76">
        <v>8850</v>
      </c>
      <c r="K300" s="244"/>
      <c r="L300" s="244"/>
      <c r="M300" s="244"/>
      <c r="N300" s="244"/>
      <c r="O300" s="244"/>
      <c r="P300" s="244"/>
      <c r="Q300" s="244"/>
      <c r="R300" s="244"/>
      <c r="S300" s="244"/>
      <c r="T300" s="244"/>
      <c r="U300" s="230">
        <v>0</v>
      </c>
      <c r="V300" s="258">
        <v>0</v>
      </c>
      <c r="W300" s="258">
        <v>0</v>
      </c>
      <c r="X300" s="258">
        <v>0</v>
      </c>
      <c r="Y300" s="258">
        <v>0</v>
      </c>
    </row>
    <row r="301" spans="1:25" s="5" customFormat="1" ht="192" x14ac:dyDescent="0.3">
      <c r="A301" s="241" t="s">
        <v>620</v>
      </c>
      <c r="B301" s="250" t="s">
        <v>621</v>
      </c>
      <c r="C301" s="243" t="s">
        <v>837</v>
      </c>
      <c r="D301" s="244" t="s">
        <v>468</v>
      </c>
      <c r="E301" s="244" t="s">
        <v>622</v>
      </c>
      <c r="F301" s="74" t="s">
        <v>1226</v>
      </c>
      <c r="G301" s="244" t="s">
        <v>117</v>
      </c>
      <c r="H301" s="244"/>
      <c r="I301" s="244" t="s">
        <v>118</v>
      </c>
      <c r="J301" s="244" t="s">
        <v>118</v>
      </c>
      <c r="K301" s="244" t="s">
        <v>118</v>
      </c>
      <c r="L301" s="244" t="s">
        <v>118</v>
      </c>
      <c r="M301" s="244" t="s">
        <v>118</v>
      </c>
      <c r="N301" s="244" t="s">
        <v>118</v>
      </c>
      <c r="O301" s="244" t="s">
        <v>118</v>
      </c>
      <c r="P301" s="244" t="s">
        <v>118</v>
      </c>
      <c r="Q301" s="244" t="s">
        <v>118</v>
      </c>
      <c r="R301" s="244" t="s">
        <v>118</v>
      </c>
      <c r="S301" s="244" t="s">
        <v>118</v>
      </c>
      <c r="T301" s="244" t="s">
        <v>118</v>
      </c>
      <c r="U301" s="230">
        <v>1460677.2000000004</v>
      </c>
      <c r="V301" s="258">
        <v>0</v>
      </c>
      <c r="W301" s="258">
        <v>0</v>
      </c>
      <c r="X301" s="258">
        <v>0</v>
      </c>
      <c r="Y301" s="258">
        <v>851673</v>
      </c>
    </row>
    <row r="302" spans="1:25" ht="24" x14ac:dyDescent="0.3">
      <c r="A302" s="66" t="s">
        <v>623</v>
      </c>
      <c r="B302" s="927" t="s">
        <v>624</v>
      </c>
      <c r="C302" s="927"/>
      <c r="D302" s="927"/>
      <c r="E302" s="927"/>
      <c r="F302" s="927"/>
      <c r="G302" s="927"/>
      <c r="H302" s="927"/>
      <c r="I302" s="927"/>
      <c r="J302" s="927"/>
      <c r="K302" s="927"/>
      <c r="L302" s="927"/>
      <c r="M302" s="927"/>
      <c r="N302" s="927"/>
      <c r="O302" s="927"/>
      <c r="P302" s="927"/>
      <c r="Q302" s="927"/>
      <c r="R302" s="927"/>
      <c r="S302" s="927"/>
      <c r="T302" s="927"/>
      <c r="U302" s="51"/>
      <c r="V302" s="52"/>
      <c r="W302" s="52"/>
      <c r="X302" s="52"/>
      <c r="Y302" s="52"/>
    </row>
    <row r="303" spans="1:25" s="4" customFormat="1" ht="192" x14ac:dyDescent="0.3">
      <c r="A303" s="241" t="s">
        <v>625</v>
      </c>
      <c r="B303" s="250" t="s">
        <v>626</v>
      </c>
      <c r="C303" s="250" t="s">
        <v>627</v>
      </c>
      <c r="D303" s="244" t="s">
        <v>959</v>
      </c>
      <c r="E303" s="244" t="s">
        <v>628</v>
      </c>
      <c r="F303" s="74" t="s">
        <v>1227</v>
      </c>
      <c r="G303" s="244" t="s">
        <v>117</v>
      </c>
      <c r="H303" s="244"/>
      <c r="I303" s="244" t="s">
        <v>118</v>
      </c>
      <c r="J303" s="244" t="s">
        <v>118</v>
      </c>
      <c r="K303" s="244" t="s">
        <v>118</v>
      </c>
      <c r="L303" s="244" t="s">
        <v>118</v>
      </c>
      <c r="M303" s="244" t="s">
        <v>118</v>
      </c>
      <c r="N303" s="244" t="s">
        <v>118</v>
      </c>
      <c r="O303" s="244" t="s">
        <v>118</v>
      </c>
      <c r="P303" s="244" t="s">
        <v>118</v>
      </c>
      <c r="Q303" s="244" t="s">
        <v>118</v>
      </c>
      <c r="R303" s="244" t="s">
        <v>118</v>
      </c>
      <c r="S303" s="244" t="s">
        <v>118</v>
      </c>
      <c r="T303" s="244" t="s">
        <v>118</v>
      </c>
      <c r="U303" s="230">
        <v>70000</v>
      </c>
      <c r="V303" s="258">
        <v>70000</v>
      </c>
      <c r="W303" s="258">
        <v>0</v>
      </c>
      <c r="X303" s="258">
        <v>0</v>
      </c>
      <c r="Y303" s="258">
        <v>0</v>
      </c>
    </row>
    <row r="304" spans="1:25" s="9" customFormat="1" ht="69.75" x14ac:dyDescent="0.3">
      <c r="A304" s="933">
        <v>3</v>
      </c>
      <c r="B304" s="936" t="s">
        <v>629</v>
      </c>
      <c r="C304" s="937"/>
      <c r="D304" s="937"/>
      <c r="E304" s="937"/>
      <c r="F304" s="91" t="s">
        <v>843</v>
      </c>
      <c r="G304" s="92" t="s">
        <v>62</v>
      </c>
      <c r="H304" s="92">
        <v>100</v>
      </c>
      <c r="I304" s="93">
        <v>148.80000000000001</v>
      </c>
      <c r="J304" s="93">
        <v>153.1</v>
      </c>
      <c r="K304" s="93">
        <v>155.30000000000001</v>
      </c>
      <c r="L304" s="93">
        <v>159.1</v>
      </c>
      <c r="M304" s="93">
        <v>163</v>
      </c>
      <c r="N304" s="93">
        <v>166.9</v>
      </c>
      <c r="O304" s="93">
        <v>172.2</v>
      </c>
      <c r="P304" s="93">
        <v>177.6</v>
      </c>
      <c r="Q304" s="93">
        <v>183.2</v>
      </c>
      <c r="R304" s="93">
        <v>189</v>
      </c>
      <c r="S304" s="93">
        <v>195</v>
      </c>
      <c r="T304" s="93">
        <v>201.1</v>
      </c>
      <c r="U304" s="200"/>
      <c r="V304" s="79"/>
      <c r="W304" s="79"/>
      <c r="X304" s="79"/>
      <c r="Y304" s="79"/>
    </row>
    <row r="305" spans="1:25" s="9" customFormat="1" ht="116.25" x14ac:dyDescent="0.3">
      <c r="A305" s="934"/>
      <c r="B305" s="938"/>
      <c r="C305" s="939"/>
      <c r="D305" s="939"/>
      <c r="E305" s="939"/>
      <c r="F305" s="91" t="s">
        <v>844</v>
      </c>
      <c r="G305" s="92" t="s">
        <v>62</v>
      </c>
      <c r="H305" s="92">
        <v>100</v>
      </c>
      <c r="I305" s="93">
        <v>152</v>
      </c>
      <c r="J305" s="93">
        <v>156.30000000000001</v>
      </c>
      <c r="K305" s="93">
        <v>158.1</v>
      </c>
      <c r="L305" s="93">
        <v>161.69999999999999</v>
      </c>
      <c r="M305" s="93">
        <v>165.4</v>
      </c>
      <c r="N305" s="93">
        <v>169.2</v>
      </c>
      <c r="O305" s="93">
        <v>174.6</v>
      </c>
      <c r="P305" s="93">
        <v>180.1</v>
      </c>
      <c r="Q305" s="93">
        <v>185.9</v>
      </c>
      <c r="R305" s="93">
        <v>191.8</v>
      </c>
      <c r="S305" s="93">
        <v>197.9</v>
      </c>
      <c r="T305" s="93">
        <v>204.2</v>
      </c>
      <c r="U305" s="200"/>
      <c r="V305" s="79"/>
      <c r="W305" s="79"/>
      <c r="X305" s="79"/>
      <c r="Y305" s="79"/>
    </row>
    <row r="306" spans="1:25" s="9" customFormat="1" ht="139.5" x14ac:dyDescent="0.3">
      <c r="A306" s="934"/>
      <c r="B306" s="938"/>
      <c r="C306" s="939"/>
      <c r="D306" s="939"/>
      <c r="E306" s="939"/>
      <c r="F306" s="91" t="s">
        <v>845</v>
      </c>
      <c r="G306" s="92" t="s">
        <v>62</v>
      </c>
      <c r="H306" s="92">
        <v>100</v>
      </c>
      <c r="I306" s="93">
        <v>154.5</v>
      </c>
      <c r="J306" s="93">
        <v>160.30000000000001</v>
      </c>
      <c r="K306" s="93">
        <v>163.19999999999999</v>
      </c>
      <c r="L306" s="93">
        <v>166.5</v>
      </c>
      <c r="M306" s="93">
        <v>169.8</v>
      </c>
      <c r="N306" s="93">
        <v>173.3</v>
      </c>
      <c r="O306" s="93">
        <v>178.5</v>
      </c>
      <c r="P306" s="93">
        <v>183.8</v>
      </c>
      <c r="Q306" s="93">
        <v>189.4</v>
      </c>
      <c r="R306" s="93">
        <v>195</v>
      </c>
      <c r="S306" s="93">
        <v>200.9</v>
      </c>
      <c r="T306" s="93">
        <v>206.9</v>
      </c>
      <c r="U306" s="200"/>
      <c r="V306" s="79"/>
      <c r="W306" s="79"/>
      <c r="X306" s="79"/>
      <c r="Y306" s="79"/>
    </row>
    <row r="307" spans="1:25" s="9" customFormat="1" ht="69.75" x14ac:dyDescent="0.3">
      <c r="A307" s="935"/>
      <c r="B307" s="940"/>
      <c r="C307" s="941"/>
      <c r="D307" s="941"/>
      <c r="E307" s="941"/>
      <c r="F307" s="91" t="s">
        <v>846</v>
      </c>
      <c r="G307" s="92" t="s">
        <v>62</v>
      </c>
      <c r="H307" s="92">
        <v>100</v>
      </c>
      <c r="I307" s="93">
        <v>125.4</v>
      </c>
      <c r="J307" s="93">
        <v>140.1</v>
      </c>
      <c r="K307" s="93">
        <v>137.4</v>
      </c>
      <c r="L307" s="93">
        <v>140.80000000000001</v>
      </c>
      <c r="M307" s="93">
        <v>144.30000000000001</v>
      </c>
      <c r="N307" s="93">
        <v>147.9</v>
      </c>
      <c r="O307" s="93">
        <v>151.6</v>
      </c>
      <c r="P307" s="93">
        <v>155.4</v>
      </c>
      <c r="Q307" s="93">
        <v>159.30000000000001</v>
      </c>
      <c r="R307" s="93">
        <v>163.30000000000001</v>
      </c>
      <c r="S307" s="93">
        <v>167.4</v>
      </c>
      <c r="T307" s="93">
        <v>171.6</v>
      </c>
      <c r="U307" s="200"/>
      <c r="V307" s="79"/>
      <c r="W307" s="79"/>
      <c r="X307" s="79"/>
      <c r="Y307" s="79"/>
    </row>
    <row r="308" spans="1:25" s="10" customFormat="1" ht="24" x14ac:dyDescent="0.3">
      <c r="A308" s="85" t="s">
        <v>630</v>
      </c>
      <c r="B308" s="930" t="s">
        <v>631</v>
      </c>
      <c r="C308" s="930"/>
      <c r="D308" s="930"/>
      <c r="E308" s="930"/>
      <c r="F308" s="930"/>
      <c r="G308" s="930"/>
      <c r="H308" s="930"/>
      <c r="I308" s="930"/>
      <c r="J308" s="930"/>
      <c r="K308" s="930"/>
      <c r="L308" s="930"/>
      <c r="M308" s="930"/>
      <c r="N308" s="930"/>
      <c r="O308" s="930"/>
      <c r="P308" s="930"/>
      <c r="Q308" s="930"/>
      <c r="R308" s="930"/>
      <c r="S308" s="930"/>
      <c r="T308" s="930"/>
      <c r="U308" s="56"/>
      <c r="V308" s="57"/>
      <c r="W308" s="57"/>
      <c r="X308" s="57"/>
      <c r="Y308" s="57"/>
    </row>
    <row r="309" spans="1:25" ht="24" x14ac:dyDescent="0.3">
      <c r="A309" s="66" t="s">
        <v>632</v>
      </c>
      <c r="B309" s="927" t="s">
        <v>633</v>
      </c>
      <c r="C309" s="927"/>
      <c r="D309" s="927"/>
      <c r="E309" s="927"/>
      <c r="F309" s="927"/>
      <c r="G309" s="927"/>
      <c r="H309" s="927"/>
      <c r="I309" s="927"/>
      <c r="J309" s="927"/>
      <c r="K309" s="927"/>
      <c r="L309" s="927"/>
      <c r="M309" s="927"/>
      <c r="N309" s="927"/>
      <c r="O309" s="927"/>
      <c r="P309" s="927"/>
      <c r="Q309" s="927"/>
      <c r="R309" s="927"/>
      <c r="S309" s="927"/>
      <c r="T309" s="927"/>
      <c r="U309" s="51"/>
      <c r="V309" s="52"/>
      <c r="W309" s="52"/>
      <c r="X309" s="52"/>
      <c r="Y309" s="52"/>
    </row>
    <row r="310" spans="1:25" s="4" customFormat="1" ht="72" x14ac:dyDescent="0.3">
      <c r="A310" s="241" t="s">
        <v>634</v>
      </c>
      <c r="B310" s="250" t="s">
        <v>635</v>
      </c>
      <c r="C310" s="250" t="s">
        <v>1357</v>
      </c>
      <c r="D310" s="244" t="s">
        <v>468</v>
      </c>
      <c r="E310" s="244" t="s">
        <v>636</v>
      </c>
      <c r="F310" s="74"/>
      <c r="G310" s="244"/>
      <c r="H310" s="244"/>
      <c r="I310" s="244"/>
      <c r="J310" s="244"/>
      <c r="K310" s="244"/>
      <c r="L310" s="244"/>
      <c r="M310" s="244"/>
      <c r="N310" s="244"/>
      <c r="O310" s="244"/>
      <c r="P310" s="244"/>
      <c r="Q310" s="244"/>
      <c r="R310" s="244"/>
      <c r="S310" s="244"/>
      <c r="T310" s="244"/>
      <c r="U310" s="230">
        <v>0</v>
      </c>
      <c r="V310" s="258">
        <v>0</v>
      </c>
      <c r="W310" s="258">
        <v>0</v>
      </c>
      <c r="X310" s="258">
        <v>0</v>
      </c>
      <c r="Y310" s="258">
        <v>0</v>
      </c>
    </row>
    <row r="311" spans="1:25" s="4" customFormat="1" ht="72" x14ac:dyDescent="0.3">
      <c r="A311" s="241" t="s">
        <v>637</v>
      </c>
      <c r="B311" s="250" t="s">
        <v>638</v>
      </c>
      <c r="C311" s="250" t="s">
        <v>639</v>
      </c>
      <c r="D311" s="244" t="s">
        <v>468</v>
      </c>
      <c r="E311" s="244" t="s">
        <v>640</v>
      </c>
      <c r="F311" s="74"/>
      <c r="G311" s="244"/>
      <c r="H311" s="244"/>
      <c r="I311" s="244"/>
      <c r="J311" s="244"/>
      <c r="K311" s="244"/>
      <c r="L311" s="244"/>
      <c r="M311" s="244"/>
      <c r="N311" s="244"/>
      <c r="O311" s="244"/>
      <c r="P311" s="244"/>
      <c r="Q311" s="244"/>
      <c r="R311" s="244"/>
      <c r="S311" s="244"/>
      <c r="T311" s="244"/>
      <c r="U311" s="230">
        <v>0</v>
      </c>
      <c r="V311" s="258">
        <v>0</v>
      </c>
      <c r="W311" s="258">
        <v>0</v>
      </c>
      <c r="X311" s="258">
        <v>0</v>
      </c>
      <c r="Y311" s="258">
        <v>0</v>
      </c>
    </row>
    <row r="312" spans="1:25" s="4" customFormat="1" ht="72" x14ac:dyDescent="0.3">
      <c r="A312" s="241" t="s">
        <v>641</v>
      </c>
      <c r="B312" s="250" t="s">
        <v>642</v>
      </c>
      <c r="C312" s="250" t="s">
        <v>643</v>
      </c>
      <c r="D312" s="244" t="s">
        <v>468</v>
      </c>
      <c r="E312" s="244" t="s">
        <v>644</v>
      </c>
      <c r="F312" s="74"/>
      <c r="G312" s="244"/>
      <c r="H312" s="244"/>
      <c r="I312" s="244"/>
      <c r="J312" s="244"/>
      <c r="K312" s="244"/>
      <c r="L312" s="244"/>
      <c r="M312" s="244"/>
      <c r="N312" s="244"/>
      <c r="O312" s="244"/>
      <c r="P312" s="244"/>
      <c r="Q312" s="244"/>
      <c r="R312" s="244"/>
      <c r="S312" s="244"/>
      <c r="T312" s="244"/>
      <c r="U312" s="230">
        <v>0</v>
      </c>
      <c r="V312" s="258">
        <v>0</v>
      </c>
      <c r="W312" s="258">
        <v>0</v>
      </c>
      <c r="X312" s="258">
        <v>0</v>
      </c>
      <c r="Y312" s="258">
        <v>0</v>
      </c>
    </row>
    <row r="313" spans="1:25" s="4" customFormat="1" ht="144" x14ac:dyDescent="0.3">
      <c r="A313" s="241" t="s">
        <v>645</v>
      </c>
      <c r="B313" s="250" t="s">
        <v>646</v>
      </c>
      <c r="C313" s="250" t="s">
        <v>647</v>
      </c>
      <c r="D313" s="244" t="s">
        <v>468</v>
      </c>
      <c r="E313" s="244" t="s">
        <v>648</v>
      </c>
      <c r="F313" s="74"/>
      <c r="G313" s="244"/>
      <c r="H313" s="244"/>
      <c r="I313" s="244"/>
      <c r="J313" s="244"/>
      <c r="K313" s="244"/>
      <c r="L313" s="244"/>
      <c r="M313" s="244"/>
      <c r="N313" s="244"/>
      <c r="O313" s="244"/>
      <c r="P313" s="244"/>
      <c r="Q313" s="244"/>
      <c r="R313" s="244"/>
      <c r="S313" s="244"/>
      <c r="T313" s="244"/>
      <c r="U313" s="230">
        <v>0</v>
      </c>
      <c r="V313" s="258">
        <v>0</v>
      </c>
      <c r="W313" s="258">
        <v>0</v>
      </c>
      <c r="X313" s="258">
        <v>0</v>
      </c>
      <c r="Y313" s="258">
        <v>0</v>
      </c>
    </row>
    <row r="314" spans="1:25" s="4" customFormat="1" ht="72" x14ac:dyDescent="0.3">
      <c r="A314" s="241" t="s">
        <v>649</v>
      </c>
      <c r="B314" s="250" t="s">
        <v>650</v>
      </c>
      <c r="C314" s="250" t="s">
        <v>651</v>
      </c>
      <c r="D314" s="244" t="s">
        <v>468</v>
      </c>
      <c r="E314" s="244" t="s">
        <v>640</v>
      </c>
      <c r="F314" s="74"/>
      <c r="G314" s="244"/>
      <c r="H314" s="244"/>
      <c r="I314" s="244"/>
      <c r="J314" s="244"/>
      <c r="K314" s="244"/>
      <c r="L314" s="244"/>
      <c r="M314" s="244"/>
      <c r="N314" s="244"/>
      <c r="O314" s="244"/>
      <c r="P314" s="244"/>
      <c r="Q314" s="244"/>
      <c r="R314" s="244"/>
      <c r="S314" s="244"/>
      <c r="T314" s="244"/>
      <c r="U314" s="230">
        <v>0</v>
      </c>
      <c r="V314" s="258">
        <v>0</v>
      </c>
      <c r="W314" s="258">
        <v>0</v>
      </c>
      <c r="X314" s="258">
        <v>0</v>
      </c>
      <c r="Y314" s="258">
        <v>0</v>
      </c>
    </row>
    <row r="315" spans="1:25" ht="24" x14ac:dyDescent="0.3">
      <c r="A315" s="90" t="s">
        <v>652</v>
      </c>
      <c r="B315" s="931" t="s">
        <v>653</v>
      </c>
      <c r="C315" s="931"/>
      <c r="D315" s="931"/>
      <c r="E315" s="931"/>
      <c r="F315" s="931"/>
      <c r="G315" s="931"/>
      <c r="H315" s="931"/>
      <c r="I315" s="931"/>
      <c r="J315" s="931"/>
      <c r="K315" s="931"/>
      <c r="L315" s="931"/>
      <c r="M315" s="931"/>
      <c r="N315" s="931"/>
      <c r="O315" s="931"/>
      <c r="P315" s="931"/>
      <c r="Q315" s="931"/>
      <c r="R315" s="931"/>
      <c r="S315" s="931"/>
      <c r="T315" s="931"/>
      <c r="U315" s="51"/>
      <c r="V315" s="52"/>
      <c r="W315" s="52"/>
      <c r="X315" s="52"/>
      <c r="Y315" s="52"/>
    </row>
    <row r="316" spans="1:25" s="4" customFormat="1" ht="156" customHeight="1" x14ac:dyDescent="0.3">
      <c r="A316" s="241" t="s">
        <v>1237</v>
      </c>
      <c r="B316" s="250" t="s">
        <v>1234</v>
      </c>
      <c r="C316" s="250" t="s">
        <v>1235</v>
      </c>
      <c r="D316" s="250" t="s">
        <v>468</v>
      </c>
      <c r="E316" s="250" t="s">
        <v>1236</v>
      </c>
      <c r="F316" s="250"/>
      <c r="G316" s="250"/>
      <c r="H316" s="250"/>
      <c r="I316" s="250"/>
      <c r="J316" s="250"/>
      <c r="K316" s="250"/>
      <c r="L316" s="250"/>
      <c r="M316" s="250"/>
      <c r="N316" s="250"/>
      <c r="O316" s="250"/>
      <c r="P316" s="250"/>
      <c r="Q316" s="250"/>
      <c r="R316" s="250"/>
      <c r="S316" s="250"/>
      <c r="T316" s="250"/>
      <c r="U316" s="230">
        <v>0</v>
      </c>
      <c r="V316" s="258">
        <v>0</v>
      </c>
      <c r="W316" s="258">
        <v>0</v>
      </c>
      <c r="X316" s="258">
        <v>0</v>
      </c>
      <c r="Y316" s="258">
        <v>0</v>
      </c>
    </row>
    <row r="317" spans="1:25" ht="24" x14ac:dyDescent="0.3">
      <c r="A317" s="66" t="s">
        <v>654</v>
      </c>
      <c r="B317" s="927" t="s">
        <v>655</v>
      </c>
      <c r="C317" s="927"/>
      <c r="D317" s="927"/>
      <c r="E317" s="927"/>
      <c r="F317" s="927"/>
      <c r="G317" s="927"/>
      <c r="H317" s="927"/>
      <c r="I317" s="927"/>
      <c r="J317" s="927"/>
      <c r="K317" s="927"/>
      <c r="L317" s="927"/>
      <c r="M317" s="927"/>
      <c r="N317" s="927"/>
      <c r="O317" s="927"/>
      <c r="P317" s="927"/>
      <c r="Q317" s="927"/>
      <c r="R317" s="927"/>
      <c r="S317" s="927"/>
      <c r="T317" s="927"/>
      <c r="U317" s="51"/>
      <c r="V317" s="52"/>
      <c r="W317" s="52"/>
      <c r="X317" s="52"/>
      <c r="Y317" s="52"/>
    </row>
    <row r="318" spans="1:25" s="4" customFormat="1" ht="245.25" customHeight="1" x14ac:dyDescent="0.3">
      <c r="A318" s="241" t="s">
        <v>656</v>
      </c>
      <c r="B318" s="250" t="s">
        <v>657</v>
      </c>
      <c r="C318" s="250" t="s">
        <v>836</v>
      </c>
      <c r="D318" s="244" t="s">
        <v>1222</v>
      </c>
      <c r="E318" s="244" t="s">
        <v>658</v>
      </c>
      <c r="F318" s="74"/>
      <c r="G318" s="244"/>
      <c r="H318" s="244"/>
      <c r="I318" s="244"/>
      <c r="J318" s="244"/>
      <c r="K318" s="244"/>
      <c r="L318" s="244"/>
      <c r="M318" s="244"/>
      <c r="N318" s="244"/>
      <c r="O318" s="244"/>
      <c r="P318" s="244"/>
      <c r="Q318" s="244"/>
      <c r="R318" s="244"/>
      <c r="S318" s="244"/>
      <c r="T318" s="244"/>
      <c r="U318" s="230">
        <v>0</v>
      </c>
      <c r="V318" s="258">
        <v>0</v>
      </c>
      <c r="W318" s="258">
        <v>0</v>
      </c>
      <c r="X318" s="258">
        <v>0</v>
      </c>
      <c r="Y318" s="258">
        <v>0</v>
      </c>
    </row>
    <row r="319" spans="1:25" s="4" customFormat="1" ht="296.25" customHeight="1" x14ac:dyDescent="0.3">
      <c r="A319" s="241" t="s">
        <v>659</v>
      </c>
      <c r="B319" s="250" t="s">
        <v>660</v>
      </c>
      <c r="C319" s="250" t="s">
        <v>661</v>
      </c>
      <c r="D319" s="244" t="s">
        <v>468</v>
      </c>
      <c r="E319" s="244" t="s">
        <v>662</v>
      </c>
      <c r="F319" s="74"/>
      <c r="G319" s="244"/>
      <c r="H319" s="244"/>
      <c r="I319" s="244"/>
      <c r="J319" s="244"/>
      <c r="K319" s="244"/>
      <c r="L319" s="244"/>
      <c r="M319" s="244"/>
      <c r="N319" s="244"/>
      <c r="O319" s="244"/>
      <c r="P319" s="244"/>
      <c r="Q319" s="244"/>
      <c r="R319" s="244"/>
      <c r="S319" s="244"/>
      <c r="T319" s="244"/>
      <c r="U319" s="230">
        <v>0</v>
      </c>
      <c r="V319" s="258">
        <v>0</v>
      </c>
      <c r="W319" s="258">
        <v>0</v>
      </c>
      <c r="X319" s="258">
        <v>0</v>
      </c>
      <c r="Y319" s="258">
        <v>0</v>
      </c>
    </row>
    <row r="320" spans="1:25" ht="24" x14ac:dyDescent="0.3">
      <c r="A320" s="67" t="s">
        <v>663</v>
      </c>
      <c r="B320" s="932" t="s">
        <v>664</v>
      </c>
      <c r="C320" s="932"/>
      <c r="D320" s="932"/>
      <c r="E320" s="932"/>
      <c r="F320" s="932"/>
      <c r="G320" s="932"/>
      <c r="H320" s="932"/>
      <c r="I320" s="932"/>
      <c r="J320" s="932"/>
      <c r="K320" s="932"/>
      <c r="L320" s="932"/>
      <c r="M320" s="932"/>
      <c r="N320" s="932"/>
      <c r="O320" s="932"/>
      <c r="P320" s="932"/>
      <c r="Q320" s="932"/>
      <c r="R320" s="932"/>
      <c r="S320" s="932"/>
      <c r="T320" s="932"/>
      <c r="U320" s="56"/>
      <c r="V320" s="57"/>
      <c r="W320" s="57"/>
      <c r="X320" s="57"/>
      <c r="Y320" s="57"/>
    </row>
    <row r="321" spans="1:25" ht="24" x14ac:dyDescent="0.3">
      <c r="A321" s="66" t="s">
        <v>665</v>
      </c>
      <c r="B321" s="927" t="s">
        <v>666</v>
      </c>
      <c r="C321" s="927"/>
      <c r="D321" s="927"/>
      <c r="E321" s="927"/>
      <c r="F321" s="927"/>
      <c r="G321" s="927"/>
      <c r="H321" s="927"/>
      <c r="I321" s="927"/>
      <c r="J321" s="927"/>
      <c r="K321" s="927"/>
      <c r="L321" s="927"/>
      <c r="M321" s="927"/>
      <c r="N321" s="927"/>
      <c r="O321" s="927"/>
      <c r="P321" s="927"/>
      <c r="Q321" s="927"/>
      <c r="R321" s="927"/>
      <c r="S321" s="927"/>
      <c r="T321" s="927"/>
      <c r="U321" s="51"/>
      <c r="V321" s="52"/>
      <c r="W321" s="52"/>
      <c r="X321" s="52"/>
      <c r="Y321" s="52"/>
    </row>
    <row r="322" spans="1:25" s="4" customFormat="1" ht="82.5" customHeight="1" x14ac:dyDescent="0.3">
      <c r="A322" s="862" t="s">
        <v>667</v>
      </c>
      <c r="B322" s="804" t="s">
        <v>668</v>
      </c>
      <c r="C322" s="859" t="s">
        <v>1358</v>
      </c>
      <c r="D322" s="714" t="s">
        <v>669</v>
      </c>
      <c r="E322" s="714" t="s">
        <v>52</v>
      </c>
      <c r="F322" s="817" t="s">
        <v>670</v>
      </c>
      <c r="G322" s="257" t="s">
        <v>58</v>
      </c>
      <c r="H322" s="65">
        <v>320</v>
      </c>
      <c r="I322" s="65">
        <v>100</v>
      </c>
      <c r="J322" s="65">
        <v>100</v>
      </c>
      <c r="K322" s="65">
        <v>100</v>
      </c>
      <c r="L322" s="65">
        <v>100</v>
      </c>
      <c r="M322" s="65">
        <v>100</v>
      </c>
      <c r="N322" s="65">
        <v>100</v>
      </c>
      <c r="O322" s="65">
        <v>100</v>
      </c>
      <c r="P322" s="65">
        <v>100</v>
      </c>
      <c r="Q322" s="65">
        <v>100</v>
      </c>
      <c r="R322" s="65">
        <v>100</v>
      </c>
      <c r="S322" s="65">
        <v>100</v>
      </c>
      <c r="T322" s="65">
        <v>100</v>
      </c>
      <c r="U322" s="773">
        <v>24768</v>
      </c>
      <c r="V322" s="791">
        <v>24768</v>
      </c>
      <c r="W322" s="791">
        <v>0</v>
      </c>
      <c r="X322" s="791">
        <v>0</v>
      </c>
      <c r="Y322" s="791">
        <v>0</v>
      </c>
    </row>
    <row r="323" spans="1:25" s="4" customFormat="1" ht="159" customHeight="1" x14ac:dyDescent="0.3">
      <c r="A323" s="869"/>
      <c r="B323" s="852"/>
      <c r="C323" s="860"/>
      <c r="D323" s="748"/>
      <c r="E323" s="748"/>
      <c r="F323" s="818"/>
      <c r="G323" s="257" t="s">
        <v>31</v>
      </c>
      <c r="H323" s="65">
        <v>16</v>
      </c>
      <c r="I323" s="65">
        <v>6</v>
      </c>
      <c r="J323" s="65">
        <v>6</v>
      </c>
      <c r="K323" s="65">
        <v>6</v>
      </c>
      <c r="L323" s="65">
        <v>6</v>
      </c>
      <c r="M323" s="65">
        <v>6</v>
      </c>
      <c r="N323" s="65">
        <v>6</v>
      </c>
      <c r="O323" s="65">
        <v>6</v>
      </c>
      <c r="P323" s="65">
        <v>6</v>
      </c>
      <c r="Q323" s="65">
        <v>6</v>
      </c>
      <c r="R323" s="65">
        <v>6</v>
      </c>
      <c r="S323" s="65">
        <v>6</v>
      </c>
      <c r="T323" s="65">
        <v>6</v>
      </c>
      <c r="U323" s="799"/>
      <c r="V323" s="795"/>
      <c r="W323" s="795"/>
      <c r="X323" s="795"/>
      <c r="Y323" s="795"/>
    </row>
    <row r="324" spans="1:25" s="4" customFormat="1" ht="168" x14ac:dyDescent="0.3">
      <c r="A324" s="869"/>
      <c r="B324" s="852"/>
      <c r="C324" s="860"/>
      <c r="D324" s="748"/>
      <c r="E324" s="748"/>
      <c r="F324" s="245" t="s">
        <v>671</v>
      </c>
      <c r="G324" s="257" t="s">
        <v>31</v>
      </c>
      <c r="H324" s="65">
        <v>15</v>
      </c>
      <c r="I324" s="65">
        <v>4</v>
      </c>
      <c r="J324" s="65">
        <v>4</v>
      </c>
      <c r="K324" s="65">
        <v>4</v>
      </c>
      <c r="L324" s="65">
        <v>4</v>
      </c>
      <c r="M324" s="65">
        <v>4</v>
      </c>
      <c r="N324" s="65">
        <v>4</v>
      </c>
      <c r="O324" s="65">
        <v>4</v>
      </c>
      <c r="P324" s="65">
        <v>4</v>
      </c>
      <c r="Q324" s="65">
        <v>4</v>
      </c>
      <c r="R324" s="65">
        <v>4</v>
      </c>
      <c r="S324" s="65">
        <v>4</v>
      </c>
      <c r="T324" s="65">
        <v>4</v>
      </c>
      <c r="U324" s="799"/>
      <c r="V324" s="795"/>
      <c r="W324" s="795"/>
      <c r="X324" s="795"/>
      <c r="Y324" s="795"/>
    </row>
    <row r="325" spans="1:25" s="4" customFormat="1" ht="96" x14ac:dyDescent="0.3">
      <c r="A325" s="869"/>
      <c r="B325" s="852"/>
      <c r="C325" s="860"/>
      <c r="D325" s="748"/>
      <c r="E325" s="748"/>
      <c r="F325" s="245" t="s">
        <v>672</v>
      </c>
      <c r="G325" s="257" t="s">
        <v>31</v>
      </c>
      <c r="H325" s="65">
        <v>212</v>
      </c>
      <c r="I325" s="65">
        <v>90</v>
      </c>
      <c r="J325" s="65">
        <v>90</v>
      </c>
      <c r="K325" s="65">
        <v>90</v>
      </c>
      <c r="L325" s="65">
        <v>90</v>
      </c>
      <c r="M325" s="65">
        <v>90</v>
      </c>
      <c r="N325" s="65">
        <v>90</v>
      </c>
      <c r="O325" s="65">
        <v>90</v>
      </c>
      <c r="P325" s="65">
        <v>90</v>
      </c>
      <c r="Q325" s="65">
        <v>90</v>
      </c>
      <c r="R325" s="65">
        <v>90</v>
      </c>
      <c r="S325" s="65">
        <v>90</v>
      </c>
      <c r="T325" s="65">
        <v>90</v>
      </c>
      <c r="U325" s="799"/>
      <c r="V325" s="795"/>
      <c r="W325" s="795"/>
      <c r="X325" s="795"/>
      <c r="Y325" s="795"/>
    </row>
    <row r="326" spans="1:25" s="4" customFormat="1" ht="96" x14ac:dyDescent="0.3">
      <c r="A326" s="869"/>
      <c r="B326" s="852"/>
      <c r="C326" s="860"/>
      <c r="D326" s="748"/>
      <c r="E326" s="748"/>
      <c r="F326" s="245" t="s">
        <v>673</v>
      </c>
      <c r="G326" s="257" t="s">
        <v>674</v>
      </c>
      <c r="H326" s="139">
        <v>15</v>
      </c>
      <c r="I326" s="139">
        <v>10</v>
      </c>
      <c r="J326" s="139">
        <v>10</v>
      </c>
      <c r="K326" s="139">
        <v>10</v>
      </c>
      <c r="L326" s="139">
        <v>10</v>
      </c>
      <c r="M326" s="139">
        <v>10</v>
      </c>
      <c r="N326" s="139">
        <v>10</v>
      </c>
      <c r="O326" s="139">
        <v>10</v>
      </c>
      <c r="P326" s="139">
        <v>10</v>
      </c>
      <c r="Q326" s="139">
        <v>10</v>
      </c>
      <c r="R326" s="139">
        <v>10</v>
      </c>
      <c r="S326" s="139">
        <v>10</v>
      </c>
      <c r="T326" s="139">
        <v>10</v>
      </c>
      <c r="U326" s="799"/>
      <c r="V326" s="795"/>
      <c r="W326" s="795"/>
      <c r="X326" s="795"/>
      <c r="Y326" s="795"/>
    </row>
    <row r="327" spans="1:25" s="4" customFormat="1" ht="225.75" customHeight="1" x14ac:dyDescent="0.3">
      <c r="A327" s="863"/>
      <c r="B327" s="852"/>
      <c r="C327" s="860"/>
      <c r="D327" s="715"/>
      <c r="E327" s="715"/>
      <c r="F327" s="219" t="s">
        <v>675</v>
      </c>
      <c r="G327" s="217" t="s">
        <v>62</v>
      </c>
      <c r="H327" s="212">
        <v>100</v>
      </c>
      <c r="I327" s="212">
        <v>100</v>
      </c>
      <c r="J327" s="212">
        <v>100</v>
      </c>
      <c r="K327" s="212">
        <v>100</v>
      </c>
      <c r="L327" s="212">
        <v>100</v>
      </c>
      <c r="M327" s="212">
        <v>100</v>
      </c>
      <c r="N327" s="212">
        <v>100</v>
      </c>
      <c r="O327" s="212">
        <v>100</v>
      </c>
      <c r="P327" s="212">
        <v>100</v>
      </c>
      <c r="Q327" s="212">
        <v>100</v>
      </c>
      <c r="R327" s="212">
        <v>100</v>
      </c>
      <c r="S327" s="212">
        <v>100</v>
      </c>
      <c r="T327" s="212">
        <v>100</v>
      </c>
      <c r="U327" s="774"/>
      <c r="V327" s="792"/>
      <c r="W327" s="792"/>
      <c r="X327" s="792"/>
      <c r="Y327" s="792"/>
    </row>
    <row r="328" spans="1:25" s="4" customFormat="1" ht="112.5" customHeight="1" x14ac:dyDescent="0.3">
      <c r="A328" s="877" t="s">
        <v>676</v>
      </c>
      <c r="B328" s="864" t="s">
        <v>677</v>
      </c>
      <c r="C328" s="866" t="s">
        <v>1359</v>
      </c>
      <c r="D328" s="759" t="s">
        <v>669</v>
      </c>
      <c r="E328" s="759" t="s">
        <v>52</v>
      </c>
      <c r="F328" s="841" t="s">
        <v>678</v>
      </c>
      <c r="G328" s="257" t="s">
        <v>58</v>
      </c>
      <c r="H328" s="65">
        <v>100</v>
      </c>
      <c r="I328" s="65">
        <v>100</v>
      </c>
      <c r="J328" s="65">
        <v>100</v>
      </c>
      <c r="K328" s="65">
        <v>100</v>
      </c>
      <c r="L328" s="65">
        <v>100</v>
      </c>
      <c r="M328" s="65">
        <v>100</v>
      </c>
      <c r="N328" s="65">
        <v>100</v>
      </c>
      <c r="O328" s="65">
        <v>100</v>
      </c>
      <c r="P328" s="65">
        <v>100</v>
      </c>
      <c r="Q328" s="65">
        <v>100</v>
      </c>
      <c r="R328" s="65">
        <v>100</v>
      </c>
      <c r="S328" s="65">
        <v>100</v>
      </c>
      <c r="T328" s="65">
        <v>100</v>
      </c>
      <c r="U328" s="773">
        <v>420</v>
      </c>
      <c r="V328" s="791">
        <v>420</v>
      </c>
      <c r="W328" s="791">
        <v>0</v>
      </c>
      <c r="X328" s="791">
        <v>0</v>
      </c>
      <c r="Y328" s="791">
        <v>0</v>
      </c>
    </row>
    <row r="329" spans="1:25" s="4" customFormat="1" ht="173.25" customHeight="1" x14ac:dyDescent="0.3">
      <c r="A329" s="877"/>
      <c r="B329" s="864"/>
      <c r="C329" s="866"/>
      <c r="D329" s="759"/>
      <c r="E329" s="759"/>
      <c r="F329" s="841"/>
      <c r="G329" s="257" t="s">
        <v>31</v>
      </c>
      <c r="H329" s="65">
        <v>231</v>
      </c>
      <c r="I329" s="65">
        <v>150</v>
      </c>
      <c r="J329" s="65">
        <v>150</v>
      </c>
      <c r="K329" s="65">
        <v>150</v>
      </c>
      <c r="L329" s="65">
        <v>150</v>
      </c>
      <c r="M329" s="65">
        <v>150</v>
      </c>
      <c r="N329" s="65">
        <v>150</v>
      </c>
      <c r="O329" s="65">
        <v>150</v>
      </c>
      <c r="P329" s="65">
        <v>150</v>
      </c>
      <c r="Q329" s="65">
        <v>150</v>
      </c>
      <c r="R329" s="65">
        <v>150</v>
      </c>
      <c r="S329" s="65">
        <v>150</v>
      </c>
      <c r="T329" s="65">
        <v>150</v>
      </c>
      <c r="U329" s="774"/>
      <c r="V329" s="792"/>
      <c r="W329" s="792"/>
      <c r="X329" s="792"/>
      <c r="Y329" s="792"/>
    </row>
    <row r="330" spans="1:25" s="4" customFormat="1" ht="78" customHeight="1" x14ac:dyDescent="0.3">
      <c r="A330" s="877" t="s">
        <v>679</v>
      </c>
      <c r="B330" s="864" t="s">
        <v>680</v>
      </c>
      <c r="C330" s="866" t="s">
        <v>1360</v>
      </c>
      <c r="D330" s="759" t="s">
        <v>669</v>
      </c>
      <c r="E330" s="759" t="s">
        <v>52</v>
      </c>
      <c r="F330" s="841" t="s">
        <v>681</v>
      </c>
      <c r="G330" s="257" t="s">
        <v>58</v>
      </c>
      <c r="H330" s="65">
        <v>109</v>
      </c>
      <c r="I330" s="65">
        <v>100</v>
      </c>
      <c r="J330" s="65">
        <v>100</v>
      </c>
      <c r="K330" s="65">
        <v>100</v>
      </c>
      <c r="L330" s="65">
        <v>100</v>
      </c>
      <c r="M330" s="65">
        <v>100</v>
      </c>
      <c r="N330" s="65">
        <v>100</v>
      </c>
      <c r="O330" s="65">
        <v>100</v>
      </c>
      <c r="P330" s="65">
        <v>100</v>
      </c>
      <c r="Q330" s="65">
        <v>100</v>
      </c>
      <c r="R330" s="65">
        <v>100</v>
      </c>
      <c r="S330" s="65">
        <v>100</v>
      </c>
      <c r="T330" s="65">
        <v>100</v>
      </c>
      <c r="U330" s="855">
        <v>4140</v>
      </c>
      <c r="V330" s="791">
        <v>4140</v>
      </c>
      <c r="W330" s="791">
        <v>0</v>
      </c>
      <c r="X330" s="791">
        <v>0</v>
      </c>
      <c r="Y330" s="791">
        <v>0</v>
      </c>
    </row>
    <row r="331" spans="1:25" s="4" customFormat="1" ht="62.25" customHeight="1" x14ac:dyDescent="0.3">
      <c r="A331" s="877"/>
      <c r="B331" s="864"/>
      <c r="C331" s="866"/>
      <c r="D331" s="759"/>
      <c r="E331" s="759"/>
      <c r="F331" s="841"/>
      <c r="G331" s="257" t="s">
        <v>74</v>
      </c>
      <c r="H331" s="65">
        <v>50</v>
      </c>
      <c r="I331" s="65">
        <v>55</v>
      </c>
      <c r="J331" s="65">
        <v>55</v>
      </c>
      <c r="K331" s="65">
        <v>55</v>
      </c>
      <c r="L331" s="65">
        <v>55</v>
      </c>
      <c r="M331" s="65">
        <v>55</v>
      </c>
      <c r="N331" s="65">
        <v>55</v>
      </c>
      <c r="O331" s="65">
        <v>55</v>
      </c>
      <c r="P331" s="65">
        <v>55</v>
      </c>
      <c r="Q331" s="65">
        <v>55</v>
      </c>
      <c r="R331" s="65">
        <v>55</v>
      </c>
      <c r="S331" s="65">
        <v>55</v>
      </c>
      <c r="T331" s="65">
        <v>55</v>
      </c>
      <c r="U331" s="855"/>
      <c r="V331" s="795"/>
      <c r="W331" s="795"/>
      <c r="X331" s="795"/>
      <c r="Y331" s="795"/>
    </row>
    <row r="332" spans="1:25" s="4" customFormat="1" ht="108.75" customHeight="1" x14ac:dyDescent="0.3">
      <c r="A332" s="877"/>
      <c r="B332" s="864"/>
      <c r="C332" s="866"/>
      <c r="D332" s="759"/>
      <c r="E332" s="759"/>
      <c r="F332" s="245" t="s">
        <v>881</v>
      </c>
      <c r="G332" s="257" t="s">
        <v>31</v>
      </c>
      <c r="H332" s="257">
        <v>382.7</v>
      </c>
      <c r="I332" s="257">
        <v>286.2</v>
      </c>
      <c r="J332" s="257">
        <v>286.2</v>
      </c>
      <c r="K332" s="257">
        <v>286.2</v>
      </c>
      <c r="L332" s="257">
        <v>286.2</v>
      </c>
      <c r="M332" s="257">
        <v>286.2</v>
      </c>
      <c r="N332" s="257">
        <v>286.2</v>
      </c>
      <c r="O332" s="257">
        <v>289.2</v>
      </c>
      <c r="P332" s="257">
        <v>289.2</v>
      </c>
      <c r="Q332" s="257">
        <v>289.2</v>
      </c>
      <c r="R332" s="257">
        <v>289.2</v>
      </c>
      <c r="S332" s="257">
        <v>289.2</v>
      </c>
      <c r="T332" s="257">
        <v>292.2</v>
      </c>
      <c r="U332" s="855"/>
      <c r="V332" s="795"/>
      <c r="W332" s="795"/>
      <c r="X332" s="795"/>
      <c r="Y332" s="795"/>
    </row>
    <row r="333" spans="1:25" s="4" customFormat="1" ht="96" x14ac:dyDescent="0.3">
      <c r="A333" s="877"/>
      <c r="B333" s="864"/>
      <c r="C333" s="866"/>
      <c r="D333" s="759"/>
      <c r="E333" s="759"/>
      <c r="F333" s="245" t="s">
        <v>882</v>
      </c>
      <c r="G333" s="257" t="s">
        <v>62</v>
      </c>
      <c r="H333" s="257">
        <v>15.8</v>
      </c>
      <c r="I333" s="257">
        <v>16.739999999999998</v>
      </c>
      <c r="J333" s="257">
        <v>16.899999999999999</v>
      </c>
      <c r="K333" s="257">
        <v>16.899999999999999</v>
      </c>
      <c r="L333" s="257">
        <v>16.899999999999999</v>
      </c>
      <c r="M333" s="257">
        <v>16.899999999999999</v>
      </c>
      <c r="N333" s="257">
        <v>16.899999999999999</v>
      </c>
      <c r="O333" s="257">
        <v>17.2</v>
      </c>
      <c r="P333" s="257">
        <v>17.2</v>
      </c>
      <c r="Q333" s="257">
        <v>17.2</v>
      </c>
      <c r="R333" s="257">
        <v>17.2</v>
      </c>
      <c r="S333" s="257">
        <v>17.2</v>
      </c>
      <c r="T333" s="257">
        <v>17.3</v>
      </c>
      <c r="U333" s="855"/>
      <c r="V333" s="795"/>
      <c r="W333" s="795"/>
      <c r="X333" s="795"/>
      <c r="Y333" s="795"/>
    </row>
    <row r="334" spans="1:25" s="4" customFormat="1" ht="72" x14ac:dyDescent="0.3">
      <c r="A334" s="877"/>
      <c r="B334" s="864"/>
      <c r="C334" s="866"/>
      <c r="D334" s="759"/>
      <c r="E334" s="759"/>
      <c r="F334" s="245" t="s">
        <v>883</v>
      </c>
      <c r="G334" s="257" t="s">
        <v>74</v>
      </c>
      <c r="H334" s="65">
        <v>18044</v>
      </c>
      <c r="I334" s="65">
        <v>15612</v>
      </c>
      <c r="J334" s="65">
        <v>17902</v>
      </c>
      <c r="K334" s="65">
        <v>17902</v>
      </c>
      <c r="L334" s="65">
        <v>17902</v>
      </c>
      <c r="M334" s="65">
        <v>17902</v>
      </c>
      <c r="N334" s="65">
        <v>17902</v>
      </c>
      <c r="O334" s="65">
        <v>18306</v>
      </c>
      <c r="P334" s="65">
        <v>18306</v>
      </c>
      <c r="Q334" s="65">
        <v>18306</v>
      </c>
      <c r="R334" s="65">
        <v>18306</v>
      </c>
      <c r="S334" s="65">
        <v>18306</v>
      </c>
      <c r="T334" s="65">
        <v>18596</v>
      </c>
      <c r="U334" s="855"/>
      <c r="V334" s="792"/>
      <c r="W334" s="792"/>
      <c r="X334" s="792"/>
      <c r="Y334" s="792"/>
    </row>
    <row r="335" spans="1:25" s="4" customFormat="1" ht="136.5" customHeight="1" x14ac:dyDescent="0.3">
      <c r="A335" s="863" t="s">
        <v>682</v>
      </c>
      <c r="B335" s="805" t="s">
        <v>683</v>
      </c>
      <c r="C335" s="861" t="s">
        <v>1361</v>
      </c>
      <c r="D335" s="715" t="s">
        <v>669</v>
      </c>
      <c r="E335" s="748" t="s">
        <v>52</v>
      </c>
      <c r="F335" s="818" t="s">
        <v>684</v>
      </c>
      <c r="G335" s="218" t="s">
        <v>58</v>
      </c>
      <c r="H335" s="216">
        <v>100</v>
      </c>
      <c r="I335" s="216">
        <v>100</v>
      </c>
      <c r="J335" s="216">
        <v>100</v>
      </c>
      <c r="K335" s="216">
        <v>100</v>
      </c>
      <c r="L335" s="216">
        <v>100</v>
      </c>
      <c r="M335" s="216">
        <v>100</v>
      </c>
      <c r="N335" s="216">
        <v>100</v>
      </c>
      <c r="O335" s="216">
        <v>100</v>
      </c>
      <c r="P335" s="216">
        <v>100</v>
      </c>
      <c r="Q335" s="216">
        <v>100</v>
      </c>
      <c r="R335" s="216">
        <v>100</v>
      </c>
      <c r="S335" s="216">
        <v>100</v>
      </c>
      <c r="T335" s="216">
        <v>100</v>
      </c>
      <c r="U335" s="799">
        <v>41832</v>
      </c>
      <c r="V335" s="791">
        <v>41832</v>
      </c>
      <c r="W335" s="791">
        <v>0</v>
      </c>
      <c r="X335" s="791">
        <v>0</v>
      </c>
      <c r="Y335" s="791">
        <v>0</v>
      </c>
    </row>
    <row r="336" spans="1:25" s="4" customFormat="1" ht="114" customHeight="1" x14ac:dyDescent="0.3">
      <c r="A336" s="877"/>
      <c r="B336" s="864"/>
      <c r="C336" s="866"/>
      <c r="D336" s="759"/>
      <c r="E336" s="715"/>
      <c r="F336" s="841"/>
      <c r="G336" s="257" t="s">
        <v>31</v>
      </c>
      <c r="H336" s="65">
        <v>1</v>
      </c>
      <c r="I336" s="65">
        <v>2</v>
      </c>
      <c r="J336" s="65">
        <v>2</v>
      </c>
      <c r="K336" s="65">
        <v>2</v>
      </c>
      <c r="L336" s="65">
        <v>2</v>
      </c>
      <c r="M336" s="65">
        <v>2</v>
      </c>
      <c r="N336" s="65">
        <v>2</v>
      </c>
      <c r="O336" s="65">
        <v>2</v>
      </c>
      <c r="P336" s="65">
        <v>2</v>
      </c>
      <c r="Q336" s="65">
        <v>2</v>
      </c>
      <c r="R336" s="65">
        <v>2</v>
      </c>
      <c r="S336" s="65">
        <v>2</v>
      </c>
      <c r="T336" s="65">
        <v>2</v>
      </c>
      <c r="U336" s="774"/>
      <c r="V336" s="792"/>
      <c r="W336" s="792"/>
      <c r="X336" s="792"/>
      <c r="Y336" s="792"/>
    </row>
    <row r="337" spans="1:25" s="4" customFormat="1" ht="409.6" customHeight="1" x14ac:dyDescent="0.3">
      <c r="A337" s="241" t="s">
        <v>1363</v>
      </c>
      <c r="B337" s="242" t="s">
        <v>688</v>
      </c>
      <c r="C337" s="243" t="s">
        <v>1362</v>
      </c>
      <c r="D337" s="244" t="s">
        <v>669</v>
      </c>
      <c r="E337" s="244" t="s">
        <v>52</v>
      </c>
      <c r="F337" s="215" t="s">
        <v>689</v>
      </c>
      <c r="G337" s="257" t="s">
        <v>62</v>
      </c>
      <c r="H337" s="44">
        <v>0</v>
      </c>
      <c r="I337" s="44">
        <v>80</v>
      </c>
      <c r="J337" s="44">
        <v>80</v>
      </c>
      <c r="K337" s="44">
        <v>80</v>
      </c>
      <c r="L337" s="44">
        <v>80</v>
      </c>
      <c r="M337" s="44">
        <v>80</v>
      </c>
      <c r="N337" s="44">
        <v>80</v>
      </c>
      <c r="O337" s="44">
        <v>80</v>
      </c>
      <c r="P337" s="44">
        <v>80</v>
      </c>
      <c r="Q337" s="44">
        <v>80</v>
      </c>
      <c r="R337" s="44">
        <v>80</v>
      </c>
      <c r="S337" s="44">
        <v>80</v>
      </c>
      <c r="T337" s="44">
        <v>80</v>
      </c>
      <c r="U337" s="230">
        <v>0</v>
      </c>
      <c r="V337" s="258">
        <v>0</v>
      </c>
      <c r="W337" s="258">
        <v>0</v>
      </c>
      <c r="X337" s="258">
        <v>0</v>
      </c>
      <c r="Y337" s="258">
        <v>0</v>
      </c>
    </row>
    <row r="338" spans="1:25" s="4" customFormat="1" ht="76.5" customHeight="1" x14ac:dyDescent="0.3">
      <c r="A338" s="241" t="s">
        <v>687</v>
      </c>
      <c r="B338" s="242" t="s">
        <v>691</v>
      </c>
      <c r="C338" s="243" t="s">
        <v>692</v>
      </c>
      <c r="D338" s="244" t="s">
        <v>669</v>
      </c>
      <c r="E338" s="244">
        <v>2019</v>
      </c>
      <c r="F338" s="245" t="s">
        <v>693</v>
      </c>
      <c r="G338" s="257" t="s">
        <v>117</v>
      </c>
      <c r="H338" s="244"/>
      <c r="I338" s="76" t="s">
        <v>118</v>
      </c>
      <c r="J338" s="76"/>
      <c r="K338" s="244"/>
      <c r="L338" s="244"/>
      <c r="M338" s="244"/>
      <c r="N338" s="244"/>
      <c r="O338" s="244"/>
      <c r="P338" s="244"/>
      <c r="Q338" s="244"/>
      <c r="R338" s="244"/>
      <c r="S338" s="244"/>
      <c r="T338" s="244"/>
      <c r="U338" s="230">
        <v>0</v>
      </c>
      <c r="V338" s="258">
        <v>0</v>
      </c>
      <c r="W338" s="258">
        <v>0</v>
      </c>
      <c r="X338" s="258">
        <v>0</v>
      </c>
      <c r="Y338" s="258">
        <v>0</v>
      </c>
    </row>
    <row r="339" spans="1:25" s="4" customFormat="1" ht="240" x14ac:dyDescent="0.3">
      <c r="A339" s="877" t="s">
        <v>690</v>
      </c>
      <c r="B339" s="864" t="s">
        <v>695</v>
      </c>
      <c r="C339" s="859" t="s">
        <v>696</v>
      </c>
      <c r="D339" s="714" t="s">
        <v>669</v>
      </c>
      <c r="E339" s="714" t="s">
        <v>144</v>
      </c>
      <c r="F339" s="245" t="s">
        <v>697</v>
      </c>
      <c r="G339" s="257" t="s">
        <v>117</v>
      </c>
      <c r="H339" s="244"/>
      <c r="I339" s="96" t="s">
        <v>118</v>
      </c>
      <c r="J339" s="96" t="s">
        <v>118</v>
      </c>
      <c r="K339" s="96" t="s">
        <v>118</v>
      </c>
      <c r="L339" s="96" t="s">
        <v>118</v>
      </c>
      <c r="M339" s="96"/>
      <c r="N339" s="96"/>
      <c r="O339" s="96"/>
      <c r="P339" s="96"/>
      <c r="Q339" s="96"/>
      <c r="R339" s="96"/>
      <c r="S339" s="96"/>
      <c r="T339" s="96"/>
      <c r="U339" s="773">
        <v>0</v>
      </c>
      <c r="V339" s="791">
        <v>0</v>
      </c>
      <c r="W339" s="791">
        <v>0</v>
      </c>
      <c r="X339" s="791">
        <v>0</v>
      </c>
      <c r="Y339" s="791">
        <v>0</v>
      </c>
    </row>
    <row r="340" spans="1:25" s="4" customFormat="1" ht="72" x14ac:dyDescent="0.3">
      <c r="A340" s="877"/>
      <c r="B340" s="864"/>
      <c r="C340" s="860"/>
      <c r="D340" s="748"/>
      <c r="E340" s="748"/>
      <c r="F340" s="220" t="s">
        <v>884</v>
      </c>
      <c r="G340" s="257" t="s">
        <v>62</v>
      </c>
      <c r="H340" s="139">
        <v>100</v>
      </c>
      <c r="I340" s="139">
        <v>144.69999999999999</v>
      </c>
      <c r="J340" s="139">
        <v>144.69999999999999</v>
      </c>
      <c r="K340" s="139">
        <v>144.69999999999999</v>
      </c>
      <c r="L340" s="139">
        <v>144.69999999999999</v>
      </c>
      <c r="M340" s="139">
        <v>144.69999999999999</v>
      </c>
      <c r="N340" s="139">
        <v>144.69999999999999</v>
      </c>
      <c r="O340" s="139">
        <v>192.1</v>
      </c>
      <c r="P340" s="139">
        <v>192.1</v>
      </c>
      <c r="Q340" s="139">
        <v>192.1</v>
      </c>
      <c r="R340" s="139">
        <v>192.1</v>
      </c>
      <c r="S340" s="139">
        <v>192.1</v>
      </c>
      <c r="T340" s="139">
        <v>220.5</v>
      </c>
      <c r="U340" s="799"/>
      <c r="V340" s="795"/>
      <c r="W340" s="795"/>
      <c r="X340" s="795"/>
      <c r="Y340" s="795"/>
    </row>
    <row r="341" spans="1:25" s="4" customFormat="1" ht="48" x14ac:dyDescent="0.3">
      <c r="A341" s="877"/>
      <c r="B341" s="864"/>
      <c r="C341" s="860"/>
      <c r="D341" s="748"/>
      <c r="E341" s="748"/>
      <c r="F341" s="220" t="s">
        <v>885</v>
      </c>
      <c r="G341" s="257" t="s">
        <v>62</v>
      </c>
      <c r="H341" s="139">
        <v>100</v>
      </c>
      <c r="I341" s="139">
        <v>121.4</v>
      </c>
      <c r="J341" s="139">
        <v>121.4</v>
      </c>
      <c r="K341" s="139">
        <v>121.4</v>
      </c>
      <c r="L341" s="139">
        <v>121.4</v>
      </c>
      <c r="M341" s="139">
        <v>121.4</v>
      </c>
      <c r="N341" s="139">
        <v>121.4</v>
      </c>
      <c r="O341" s="139">
        <v>143.5</v>
      </c>
      <c r="P341" s="139">
        <v>143.5</v>
      </c>
      <c r="Q341" s="139">
        <v>143.5</v>
      </c>
      <c r="R341" s="139">
        <v>143.5</v>
      </c>
      <c r="S341" s="139">
        <v>143.5</v>
      </c>
      <c r="T341" s="139">
        <v>164.7</v>
      </c>
      <c r="U341" s="799"/>
      <c r="V341" s="795"/>
      <c r="W341" s="795"/>
      <c r="X341" s="795"/>
      <c r="Y341" s="795"/>
    </row>
    <row r="342" spans="1:25" s="4" customFormat="1" ht="48" x14ac:dyDescent="0.3">
      <c r="A342" s="877"/>
      <c r="B342" s="864"/>
      <c r="C342" s="861"/>
      <c r="D342" s="715"/>
      <c r="E342" s="715"/>
      <c r="F342" s="220" t="s">
        <v>886</v>
      </c>
      <c r="G342" s="257" t="s">
        <v>62</v>
      </c>
      <c r="H342" s="139">
        <v>100</v>
      </c>
      <c r="I342" s="139">
        <v>129.5</v>
      </c>
      <c r="J342" s="139">
        <v>129.5</v>
      </c>
      <c r="K342" s="139">
        <v>129.5</v>
      </c>
      <c r="L342" s="139">
        <v>129.5</v>
      </c>
      <c r="M342" s="139">
        <v>129.5</v>
      </c>
      <c r="N342" s="139">
        <v>129.5</v>
      </c>
      <c r="O342" s="139">
        <v>160.69999999999999</v>
      </c>
      <c r="P342" s="139">
        <v>160.69999999999999</v>
      </c>
      <c r="Q342" s="139">
        <v>160.69999999999999</v>
      </c>
      <c r="R342" s="139">
        <v>160.69999999999999</v>
      </c>
      <c r="S342" s="139">
        <v>160.69999999999999</v>
      </c>
      <c r="T342" s="139">
        <v>186.3</v>
      </c>
      <c r="U342" s="774"/>
      <c r="V342" s="792"/>
      <c r="W342" s="792"/>
      <c r="X342" s="792"/>
      <c r="Y342" s="792"/>
    </row>
    <row r="343" spans="1:25" s="4" customFormat="1" ht="192" x14ac:dyDescent="0.3">
      <c r="A343" s="877"/>
      <c r="B343" s="865"/>
      <c r="C343" s="243" t="s">
        <v>698</v>
      </c>
      <c r="D343" s="244" t="s">
        <v>669</v>
      </c>
      <c r="E343" s="244">
        <v>2019</v>
      </c>
      <c r="F343" s="245" t="s">
        <v>699</v>
      </c>
      <c r="G343" s="257" t="s">
        <v>117</v>
      </c>
      <c r="H343" s="244"/>
      <c r="I343" s="96" t="s">
        <v>118</v>
      </c>
      <c r="J343" s="96"/>
      <c r="K343" s="96"/>
      <c r="L343" s="96"/>
      <c r="M343" s="96"/>
      <c r="N343" s="96"/>
      <c r="O343" s="96"/>
      <c r="P343" s="96"/>
      <c r="Q343" s="96"/>
      <c r="R343" s="96"/>
      <c r="S343" s="96"/>
      <c r="T343" s="96"/>
      <c r="U343" s="230">
        <v>0</v>
      </c>
      <c r="V343" s="258">
        <v>0</v>
      </c>
      <c r="W343" s="258">
        <v>0</v>
      </c>
      <c r="X343" s="258">
        <v>0</v>
      </c>
      <c r="Y343" s="258">
        <v>0</v>
      </c>
    </row>
    <row r="344" spans="1:25" s="4" customFormat="1" ht="72" x14ac:dyDescent="0.3">
      <c r="A344" s="877"/>
      <c r="B344" s="865"/>
      <c r="C344" s="243" t="s">
        <v>700</v>
      </c>
      <c r="D344" s="244" t="s">
        <v>669</v>
      </c>
      <c r="E344" s="244" t="s">
        <v>52</v>
      </c>
      <c r="F344" s="245" t="s">
        <v>685</v>
      </c>
      <c r="G344" s="257" t="s">
        <v>686</v>
      </c>
      <c r="H344" s="244"/>
      <c r="I344" s="257">
        <v>730</v>
      </c>
      <c r="J344" s="257">
        <v>735</v>
      </c>
      <c r="K344" s="257">
        <v>740</v>
      </c>
      <c r="L344" s="257">
        <v>750</v>
      </c>
      <c r="M344" s="257">
        <v>750</v>
      </c>
      <c r="N344" s="257">
        <v>750</v>
      </c>
      <c r="O344" s="257">
        <v>760</v>
      </c>
      <c r="P344" s="257">
        <v>760</v>
      </c>
      <c r="Q344" s="257">
        <v>760</v>
      </c>
      <c r="R344" s="257">
        <v>760</v>
      </c>
      <c r="S344" s="257">
        <v>760</v>
      </c>
      <c r="T344" s="257">
        <v>760</v>
      </c>
      <c r="U344" s="230">
        <v>0</v>
      </c>
      <c r="V344" s="258">
        <v>0</v>
      </c>
      <c r="W344" s="258">
        <v>0</v>
      </c>
      <c r="X344" s="258">
        <v>0</v>
      </c>
      <c r="Y344" s="258">
        <v>0</v>
      </c>
    </row>
    <row r="345" spans="1:25" s="4" customFormat="1" ht="149.25" customHeight="1" x14ac:dyDescent="0.3">
      <c r="A345" s="241" t="s">
        <v>694</v>
      </c>
      <c r="B345" s="54" t="s">
        <v>702</v>
      </c>
      <c r="C345" s="859" t="s">
        <v>703</v>
      </c>
      <c r="D345" s="244" t="s">
        <v>1132</v>
      </c>
      <c r="E345" s="244" t="s">
        <v>273</v>
      </c>
      <c r="F345" s="97" t="s">
        <v>704</v>
      </c>
      <c r="G345" s="257" t="s">
        <v>74</v>
      </c>
      <c r="H345" s="244"/>
      <c r="I345" s="76">
        <v>1021</v>
      </c>
      <c r="J345" s="76">
        <v>1100</v>
      </c>
      <c r="K345" s="244"/>
      <c r="L345" s="244"/>
      <c r="M345" s="244"/>
      <c r="N345" s="244"/>
      <c r="O345" s="244"/>
      <c r="P345" s="244"/>
      <c r="Q345" s="244"/>
      <c r="R345" s="244"/>
      <c r="S345" s="244"/>
      <c r="T345" s="244"/>
      <c r="U345" s="773">
        <v>520.79999999999995</v>
      </c>
      <c r="V345" s="791">
        <v>0</v>
      </c>
      <c r="W345" s="791">
        <v>520.79999999999995</v>
      </c>
      <c r="X345" s="791">
        <v>0</v>
      </c>
      <c r="Y345" s="791">
        <v>0</v>
      </c>
    </row>
    <row r="346" spans="1:25" s="4" customFormat="1" ht="146.25" customHeight="1" x14ac:dyDescent="0.3">
      <c r="A346" s="241" t="s">
        <v>701</v>
      </c>
      <c r="B346" s="54" t="s">
        <v>706</v>
      </c>
      <c r="C346" s="861"/>
      <c r="D346" s="244" t="s">
        <v>1132</v>
      </c>
      <c r="E346" s="244" t="s">
        <v>273</v>
      </c>
      <c r="F346" s="97" t="s">
        <v>707</v>
      </c>
      <c r="G346" s="257" t="s">
        <v>74</v>
      </c>
      <c r="H346" s="244"/>
      <c r="I346" s="76">
        <v>3</v>
      </c>
      <c r="J346" s="76">
        <v>5</v>
      </c>
      <c r="K346" s="244"/>
      <c r="L346" s="244"/>
      <c r="M346" s="244"/>
      <c r="N346" s="244"/>
      <c r="O346" s="244"/>
      <c r="P346" s="244"/>
      <c r="Q346" s="244"/>
      <c r="R346" s="244"/>
      <c r="S346" s="244"/>
      <c r="T346" s="244"/>
      <c r="U346" s="774"/>
      <c r="V346" s="792"/>
      <c r="W346" s="792"/>
      <c r="X346" s="792"/>
      <c r="Y346" s="792"/>
    </row>
    <row r="347" spans="1:25" s="4" customFormat="1" ht="144" x14ac:dyDescent="0.3">
      <c r="A347" s="241" t="s">
        <v>705</v>
      </c>
      <c r="B347" s="250" t="s">
        <v>708</v>
      </c>
      <c r="C347" s="243" t="s">
        <v>709</v>
      </c>
      <c r="D347" s="244" t="s">
        <v>98</v>
      </c>
      <c r="E347" s="244" t="s">
        <v>52</v>
      </c>
      <c r="F347" s="61" t="s">
        <v>1225</v>
      </c>
      <c r="G347" s="261" t="s">
        <v>117</v>
      </c>
      <c r="H347" s="224"/>
      <c r="I347" s="43" t="s">
        <v>118</v>
      </c>
      <c r="J347" s="43" t="s">
        <v>118</v>
      </c>
      <c r="K347" s="43" t="s">
        <v>118</v>
      </c>
      <c r="L347" s="43" t="s">
        <v>118</v>
      </c>
      <c r="M347" s="43" t="s">
        <v>118</v>
      </c>
      <c r="N347" s="43" t="s">
        <v>118</v>
      </c>
      <c r="O347" s="43" t="s">
        <v>118</v>
      </c>
      <c r="P347" s="43" t="s">
        <v>118</v>
      </c>
      <c r="Q347" s="43" t="s">
        <v>118</v>
      </c>
      <c r="R347" s="43" t="s">
        <v>118</v>
      </c>
      <c r="S347" s="43" t="s">
        <v>118</v>
      </c>
      <c r="T347" s="43" t="s">
        <v>118</v>
      </c>
      <c r="U347" s="230">
        <v>2340000</v>
      </c>
      <c r="V347" s="258">
        <v>0</v>
      </c>
      <c r="W347" s="258">
        <v>0</v>
      </c>
      <c r="X347" s="258">
        <v>0</v>
      </c>
      <c r="Y347" s="258">
        <v>2340000</v>
      </c>
    </row>
    <row r="348" spans="1:25" ht="24" x14ac:dyDescent="0.3">
      <c r="A348" s="66" t="s">
        <v>710</v>
      </c>
      <c r="B348" s="927" t="s">
        <v>711</v>
      </c>
      <c r="C348" s="927"/>
      <c r="D348" s="927"/>
      <c r="E348" s="927"/>
      <c r="F348" s="927"/>
      <c r="G348" s="927"/>
      <c r="H348" s="927"/>
      <c r="I348" s="927"/>
      <c r="J348" s="927"/>
      <c r="K348" s="927"/>
      <c r="L348" s="927"/>
      <c r="M348" s="927"/>
      <c r="N348" s="927"/>
      <c r="O348" s="927"/>
      <c r="P348" s="927"/>
      <c r="Q348" s="927"/>
      <c r="R348" s="927"/>
      <c r="S348" s="927"/>
      <c r="T348" s="927"/>
      <c r="U348" s="51"/>
      <c r="V348" s="52"/>
      <c r="W348" s="52"/>
      <c r="X348" s="52"/>
      <c r="Y348" s="52"/>
    </row>
    <row r="349" spans="1:25" s="4" customFormat="1" ht="240" x14ac:dyDescent="0.3">
      <c r="A349" s="249" t="s">
        <v>712</v>
      </c>
      <c r="B349" s="250" t="s">
        <v>713</v>
      </c>
      <c r="C349" s="243" t="s">
        <v>1364</v>
      </c>
      <c r="D349" s="236" t="s">
        <v>1133</v>
      </c>
      <c r="E349" s="224">
        <v>2019</v>
      </c>
      <c r="F349" s="245" t="s">
        <v>1018</v>
      </c>
      <c r="G349" s="224" t="s">
        <v>31</v>
      </c>
      <c r="H349" s="224"/>
      <c r="I349" s="224">
        <v>260</v>
      </c>
      <c r="J349" s="224"/>
      <c r="K349" s="224"/>
      <c r="L349" s="224"/>
      <c r="M349" s="224"/>
      <c r="N349" s="224">
        <v>260</v>
      </c>
      <c r="O349" s="224"/>
      <c r="P349" s="224"/>
      <c r="Q349" s="224"/>
      <c r="R349" s="224"/>
      <c r="S349" s="224">
        <v>260</v>
      </c>
      <c r="T349" s="224"/>
      <c r="U349" s="230">
        <v>3915</v>
      </c>
      <c r="V349" s="258">
        <v>0</v>
      </c>
      <c r="W349" s="258">
        <v>0</v>
      </c>
      <c r="X349" s="258">
        <v>0</v>
      </c>
      <c r="Y349" s="258">
        <v>3915</v>
      </c>
    </row>
    <row r="350" spans="1:25" s="4" customFormat="1" ht="120" x14ac:dyDescent="0.3">
      <c r="A350" s="249" t="s">
        <v>714</v>
      </c>
      <c r="B350" s="250" t="s">
        <v>715</v>
      </c>
      <c r="C350" s="250" t="s">
        <v>1365</v>
      </c>
      <c r="D350" s="236" t="s">
        <v>1133</v>
      </c>
      <c r="E350" s="244" t="s">
        <v>52</v>
      </c>
      <c r="F350" s="74" t="s">
        <v>831</v>
      </c>
      <c r="G350" s="224" t="s">
        <v>74</v>
      </c>
      <c r="H350" s="224"/>
      <c r="I350" s="43">
        <v>500</v>
      </c>
      <c r="J350" s="43">
        <v>500</v>
      </c>
      <c r="K350" s="43">
        <v>500</v>
      </c>
      <c r="L350" s="43">
        <v>500</v>
      </c>
      <c r="M350" s="43">
        <v>500</v>
      </c>
      <c r="N350" s="43">
        <v>500</v>
      </c>
      <c r="O350" s="43">
        <v>500</v>
      </c>
      <c r="P350" s="43">
        <v>500</v>
      </c>
      <c r="Q350" s="43">
        <v>500</v>
      </c>
      <c r="R350" s="43">
        <v>500</v>
      </c>
      <c r="S350" s="43">
        <v>500</v>
      </c>
      <c r="T350" s="43">
        <v>500</v>
      </c>
      <c r="U350" s="230">
        <v>6200</v>
      </c>
      <c r="V350" s="258">
        <v>0</v>
      </c>
      <c r="W350" s="258">
        <v>0</v>
      </c>
      <c r="X350" s="258">
        <v>0</v>
      </c>
      <c r="Y350" s="258">
        <v>6200</v>
      </c>
    </row>
    <row r="351" spans="1:25" s="4" customFormat="1" ht="72" x14ac:dyDescent="0.3">
      <c r="A351" s="249" t="s">
        <v>716</v>
      </c>
      <c r="B351" s="250" t="s">
        <v>717</v>
      </c>
      <c r="C351" s="250" t="s">
        <v>1006</v>
      </c>
      <c r="D351" s="236" t="s">
        <v>1133</v>
      </c>
      <c r="E351" s="43" t="s">
        <v>52</v>
      </c>
      <c r="F351" s="74" t="s">
        <v>1007</v>
      </c>
      <c r="G351" s="224" t="s">
        <v>74</v>
      </c>
      <c r="H351" s="224"/>
      <c r="I351" s="43">
        <v>200</v>
      </c>
      <c r="J351" s="43">
        <v>200</v>
      </c>
      <c r="K351" s="43">
        <v>200</v>
      </c>
      <c r="L351" s="43">
        <v>200</v>
      </c>
      <c r="M351" s="43">
        <v>200</v>
      </c>
      <c r="N351" s="43">
        <v>200</v>
      </c>
      <c r="O351" s="43">
        <v>200</v>
      </c>
      <c r="P351" s="43">
        <v>200</v>
      </c>
      <c r="Q351" s="43">
        <v>200</v>
      </c>
      <c r="R351" s="43">
        <v>200</v>
      </c>
      <c r="S351" s="43">
        <v>200</v>
      </c>
      <c r="T351" s="43">
        <v>200</v>
      </c>
      <c r="U351" s="230">
        <v>1000</v>
      </c>
      <c r="V351" s="258">
        <v>0</v>
      </c>
      <c r="W351" s="258">
        <v>0</v>
      </c>
      <c r="X351" s="258">
        <v>0</v>
      </c>
      <c r="Y351" s="258">
        <v>1000</v>
      </c>
    </row>
    <row r="352" spans="1:25" s="4" customFormat="1" ht="264" x14ac:dyDescent="0.3">
      <c r="A352" s="249" t="s">
        <v>718</v>
      </c>
      <c r="B352" s="250" t="s">
        <v>719</v>
      </c>
      <c r="C352" s="250" t="s">
        <v>720</v>
      </c>
      <c r="D352" s="236" t="s">
        <v>1133</v>
      </c>
      <c r="E352" s="224">
        <v>2019</v>
      </c>
      <c r="F352" s="74" t="s">
        <v>721</v>
      </c>
      <c r="G352" s="224" t="s">
        <v>117</v>
      </c>
      <c r="H352" s="224"/>
      <c r="I352" s="224" t="s">
        <v>118</v>
      </c>
      <c r="J352" s="224"/>
      <c r="K352" s="224"/>
      <c r="L352" s="224"/>
      <c r="M352" s="224"/>
      <c r="N352" s="224"/>
      <c r="O352" s="224"/>
      <c r="P352" s="224"/>
      <c r="Q352" s="224"/>
      <c r="R352" s="224"/>
      <c r="S352" s="224"/>
      <c r="T352" s="224"/>
      <c r="U352" s="230">
        <v>500</v>
      </c>
      <c r="V352" s="258">
        <v>0</v>
      </c>
      <c r="W352" s="258">
        <v>0</v>
      </c>
      <c r="X352" s="258">
        <v>0</v>
      </c>
      <c r="Y352" s="258">
        <v>500</v>
      </c>
    </row>
    <row r="353" spans="1:25" s="4" customFormat="1" ht="144" x14ac:dyDescent="0.3">
      <c r="A353" s="249" t="s">
        <v>722</v>
      </c>
      <c r="B353" s="250" t="s">
        <v>723</v>
      </c>
      <c r="C353" s="250" t="s">
        <v>724</v>
      </c>
      <c r="D353" s="244" t="s">
        <v>725</v>
      </c>
      <c r="E353" s="244" t="s">
        <v>726</v>
      </c>
      <c r="F353" s="74" t="s">
        <v>1431</v>
      </c>
      <c r="G353" s="224" t="s">
        <v>117</v>
      </c>
      <c r="H353" s="224"/>
      <c r="I353" s="224"/>
      <c r="J353" s="224"/>
      <c r="K353" s="224"/>
      <c r="L353" s="224" t="s">
        <v>118</v>
      </c>
      <c r="M353" s="224"/>
      <c r="N353" s="224"/>
      <c r="O353" s="224"/>
      <c r="P353" s="224"/>
      <c r="Q353" s="224"/>
      <c r="R353" s="224"/>
      <c r="S353" s="224"/>
      <c r="T353" s="224"/>
      <c r="U353" s="230">
        <v>0</v>
      </c>
      <c r="V353" s="258">
        <v>0</v>
      </c>
      <c r="W353" s="258">
        <v>0</v>
      </c>
      <c r="X353" s="258">
        <v>0</v>
      </c>
      <c r="Y353" s="258">
        <v>0</v>
      </c>
    </row>
    <row r="354" spans="1:25" s="4" customFormat="1" ht="120" x14ac:dyDescent="0.3">
      <c r="A354" s="249" t="s">
        <v>727</v>
      </c>
      <c r="B354" s="250" t="s">
        <v>728</v>
      </c>
      <c r="C354" s="250" t="s">
        <v>729</v>
      </c>
      <c r="D354" s="244" t="s">
        <v>730</v>
      </c>
      <c r="E354" s="244" t="s">
        <v>167</v>
      </c>
      <c r="F354" s="74" t="s">
        <v>1432</v>
      </c>
      <c r="G354" s="224" t="s">
        <v>117</v>
      </c>
      <c r="H354" s="224"/>
      <c r="I354" s="224"/>
      <c r="J354" s="224"/>
      <c r="K354" s="224"/>
      <c r="L354" s="224" t="s">
        <v>118</v>
      </c>
      <c r="M354" s="224"/>
      <c r="N354" s="224"/>
      <c r="O354" s="224"/>
      <c r="P354" s="224"/>
      <c r="Q354" s="224"/>
      <c r="R354" s="224"/>
      <c r="S354" s="224"/>
      <c r="T354" s="224"/>
      <c r="U354" s="230">
        <v>210000</v>
      </c>
      <c r="V354" s="258">
        <v>10000</v>
      </c>
      <c r="W354" s="258">
        <v>0</v>
      </c>
      <c r="X354" s="258">
        <v>0</v>
      </c>
      <c r="Y354" s="258">
        <v>200000</v>
      </c>
    </row>
    <row r="355" spans="1:25" s="4" customFormat="1" ht="217.5" customHeight="1" x14ac:dyDescent="0.3">
      <c r="A355" s="249" t="s">
        <v>731</v>
      </c>
      <c r="B355" s="250" t="s">
        <v>732</v>
      </c>
      <c r="C355" s="250" t="s">
        <v>733</v>
      </c>
      <c r="D355" s="244" t="s">
        <v>1409</v>
      </c>
      <c r="E355" s="244" t="s">
        <v>726</v>
      </c>
      <c r="F355" s="74" t="s">
        <v>1433</v>
      </c>
      <c r="G355" s="224" t="s">
        <v>117</v>
      </c>
      <c r="H355" s="224"/>
      <c r="I355" s="224"/>
      <c r="J355" s="224"/>
      <c r="K355" s="224"/>
      <c r="L355" s="224" t="s">
        <v>118</v>
      </c>
      <c r="M355" s="224"/>
      <c r="N355" s="224"/>
      <c r="O355" s="224"/>
      <c r="P355" s="224"/>
      <c r="Q355" s="224"/>
      <c r="R355" s="224"/>
      <c r="S355" s="224"/>
      <c r="T355" s="224"/>
      <c r="U355" s="230">
        <v>0</v>
      </c>
      <c r="V355" s="258">
        <v>0</v>
      </c>
      <c r="W355" s="258">
        <v>0</v>
      </c>
      <c r="X355" s="258">
        <v>0</v>
      </c>
      <c r="Y355" s="258">
        <v>0</v>
      </c>
    </row>
    <row r="356" spans="1:25" ht="24" x14ac:dyDescent="0.3">
      <c r="A356" s="66" t="s">
        <v>734</v>
      </c>
      <c r="B356" s="928" t="s">
        <v>735</v>
      </c>
      <c r="C356" s="929"/>
      <c r="D356" s="929"/>
      <c r="E356" s="929"/>
      <c r="F356" s="929"/>
      <c r="G356" s="929"/>
      <c r="H356" s="929"/>
      <c r="I356" s="929"/>
      <c r="J356" s="929"/>
      <c r="K356" s="929"/>
      <c r="L356" s="929"/>
      <c r="M356" s="929"/>
      <c r="N356" s="929"/>
      <c r="O356" s="929"/>
      <c r="P356" s="929"/>
      <c r="Q356" s="929"/>
      <c r="R356" s="929"/>
      <c r="S356" s="929"/>
      <c r="T356" s="929"/>
      <c r="U356" s="51"/>
      <c r="V356" s="52"/>
      <c r="W356" s="52"/>
      <c r="X356" s="52"/>
      <c r="Y356" s="52"/>
    </row>
    <row r="357" spans="1:25" s="4" customFormat="1" ht="144" x14ac:dyDescent="0.3">
      <c r="A357" s="241" t="s">
        <v>736</v>
      </c>
      <c r="B357" s="250" t="s">
        <v>737</v>
      </c>
      <c r="C357" s="250" t="s">
        <v>1410</v>
      </c>
      <c r="D357" s="244" t="s">
        <v>738</v>
      </c>
      <c r="E357" s="244" t="s">
        <v>739</v>
      </c>
      <c r="F357" s="74" t="s">
        <v>1108</v>
      </c>
      <c r="G357" s="244" t="s">
        <v>1109</v>
      </c>
      <c r="H357" s="244"/>
      <c r="I357" s="244"/>
      <c r="J357" s="244"/>
      <c r="K357" s="244"/>
      <c r="L357" s="244">
        <v>2440</v>
      </c>
      <c r="M357" s="244">
        <v>2440</v>
      </c>
      <c r="N357" s="244">
        <v>2440</v>
      </c>
      <c r="O357" s="244">
        <v>2440</v>
      </c>
      <c r="P357" s="244">
        <v>2440</v>
      </c>
      <c r="Q357" s="244">
        <v>2440</v>
      </c>
      <c r="R357" s="244">
        <v>2440</v>
      </c>
      <c r="S357" s="244">
        <v>2440</v>
      </c>
      <c r="T357" s="244">
        <v>2440</v>
      </c>
      <c r="U357" s="230">
        <v>3329260</v>
      </c>
      <c r="V357" s="258">
        <v>0</v>
      </c>
      <c r="W357" s="258">
        <v>28610</v>
      </c>
      <c r="X357" s="258">
        <v>543510</v>
      </c>
      <c r="Y357" s="258">
        <v>2757140</v>
      </c>
    </row>
    <row r="358" spans="1:25" s="4" customFormat="1" ht="105" customHeight="1" x14ac:dyDescent="0.3">
      <c r="A358" s="241" t="s">
        <v>740</v>
      </c>
      <c r="B358" s="250" t="s">
        <v>741</v>
      </c>
      <c r="C358" s="250" t="s">
        <v>742</v>
      </c>
      <c r="D358" s="244" t="s">
        <v>743</v>
      </c>
      <c r="E358" s="244" t="s">
        <v>143</v>
      </c>
      <c r="F358" s="98" t="s">
        <v>847</v>
      </c>
      <c r="G358" s="43" t="s">
        <v>994</v>
      </c>
      <c r="H358" s="224"/>
      <c r="I358" s="43"/>
      <c r="J358" s="43">
        <v>1.2</v>
      </c>
      <c r="K358" s="43">
        <v>1.2</v>
      </c>
      <c r="L358" s="43">
        <v>1.2</v>
      </c>
      <c r="M358" s="43">
        <v>1.2</v>
      </c>
      <c r="N358" s="43">
        <v>1.2</v>
      </c>
      <c r="O358" s="43">
        <v>1.2</v>
      </c>
      <c r="P358" s="43">
        <v>1.2</v>
      </c>
      <c r="Q358" s="43">
        <v>1.2</v>
      </c>
      <c r="R358" s="43">
        <v>1.2</v>
      </c>
      <c r="S358" s="43">
        <v>1.2</v>
      </c>
      <c r="T358" s="43">
        <v>1.2</v>
      </c>
      <c r="U358" s="230">
        <v>94000</v>
      </c>
      <c r="V358" s="258">
        <v>0</v>
      </c>
      <c r="W358" s="258">
        <v>0</v>
      </c>
      <c r="X358" s="258">
        <v>0</v>
      </c>
      <c r="Y358" s="258">
        <v>94000</v>
      </c>
    </row>
    <row r="359" spans="1:25" ht="24" x14ac:dyDescent="0.3">
      <c r="A359" s="66" t="s">
        <v>744</v>
      </c>
      <c r="B359" s="927" t="s">
        <v>745</v>
      </c>
      <c r="C359" s="927"/>
      <c r="D359" s="927"/>
      <c r="E359" s="927"/>
      <c r="F359" s="927"/>
      <c r="G359" s="927"/>
      <c r="H359" s="927"/>
      <c r="I359" s="927"/>
      <c r="J359" s="927"/>
      <c r="K359" s="927"/>
      <c r="L359" s="927"/>
      <c r="M359" s="927"/>
      <c r="N359" s="927"/>
      <c r="O359" s="927"/>
      <c r="P359" s="927"/>
      <c r="Q359" s="927"/>
      <c r="R359" s="927"/>
      <c r="S359" s="927"/>
      <c r="T359" s="927"/>
      <c r="U359" s="51"/>
      <c r="V359" s="52"/>
      <c r="W359" s="52"/>
      <c r="X359" s="52"/>
      <c r="Y359" s="52"/>
    </row>
    <row r="360" spans="1:25" s="4" customFormat="1" ht="168" x14ac:dyDescent="0.3">
      <c r="A360" s="241" t="s">
        <v>746</v>
      </c>
      <c r="B360" s="250" t="s">
        <v>748</v>
      </c>
      <c r="C360" s="250" t="s">
        <v>1366</v>
      </c>
      <c r="D360" s="244" t="s">
        <v>98</v>
      </c>
      <c r="E360" s="244" t="s">
        <v>52</v>
      </c>
      <c r="F360" s="74" t="s">
        <v>749</v>
      </c>
      <c r="G360" s="224" t="s">
        <v>117</v>
      </c>
      <c r="H360" s="244"/>
      <c r="I360" s="244" t="s">
        <v>118</v>
      </c>
      <c r="J360" s="244" t="s">
        <v>118</v>
      </c>
      <c r="K360" s="244" t="s">
        <v>118</v>
      </c>
      <c r="L360" s="244" t="s">
        <v>118</v>
      </c>
      <c r="M360" s="244" t="s">
        <v>118</v>
      </c>
      <c r="N360" s="244" t="s">
        <v>118</v>
      </c>
      <c r="O360" s="244" t="s">
        <v>118</v>
      </c>
      <c r="P360" s="244" t="s">
        <v>118</v>
      </c>
      <c r="Q360" s="244" t="s">
        <v>118</v>
      </c>
      <c r="R360" s="244" t="s">
        <v>118</v>
      </c>
      <c r="S360" s="244" t="s">
        <v>118</v>
      </c>
      <c r="T360" s="244" t="s">
        <v>118</v>
      </c>
      <c r="U360" s="230">
        <v>1200000</v>
      </c>
      <c r="V360" s="258">
        <v>0</v>
      </c>
      <c r="W360" s="258">
        <v>0</v>
      </c>
      <c r="X360" s="258">
        <v>0</v>
      </c>
      <c r="Y360" s="258">
        <v>1200000</v>
      </c>
    </row>
    <row r="361" spans="1:25" s="4" customFormat="1" ht="216" x14ac:dyDescent="0.3">
      <c r="A361" s="241" t="s">
        <v>747</v>
      </c>
      <c r="B361" s="250" t="s">
        <v>751</v>
      </c>
      <c r="C361" s="250" t="s">
        <v>1367</v>
      </c>
      <c r="D361" s="244" t="s">
        <v>98</v>
      </c>
      <c r="E361" s="244" t="s">
        <v>52</v>
      </c>
      <c r="F361" s="74" t="s">
        <v>752</v>
      </c>
      <c r="G361" s="224" t="s">
        <v>117</v>
      </c>
      <c r="H361" s="244"/>
      <c r="I361" s="244" t="s">
        <v>118</v>
      </c>
      <c r="J361" s="244" t="s">
        <v>118</v>
      </c>
      <c r="K361" s="244" t="s">
        <v>118</v>
      </c>
      <c r="L361" s="244" t="s">
        <v>118</v>
      </c>
      <c r="M361" s="244" t="s">
        <v>118</v>
      </c>
      <c r="N361" s="244" t="s">
        <v>118</v>
      </c>
      <c r="O361" s="244" t="s">
        <v>118</v>
      </c>
      <c r="P361" s="244" t="s">
        <v>118</v>
      </c>
      <c r="Q361" s="244" t="s">
        <v>118</v>
      </c>
      <c r="R361" s="244" t="s">
        <v>118</v>
      </c>
      <c r="S361" s="244" t="s">
        <v>118</v>
      </c>
      <c r="T361" s="244" t="s">
        <v>118</v>
      </c>
      <c r="U361" s="230">
        <v>120000</v>
      </c>
      <c r="V361" s="258">
        <v>0</v>
      </c>
      <c r="W361" s="258">
        <v>0</v>
      </c>
      <c r="X361" s="258">
        <v>0</v>
      </c>
      <c r="Y361" s="258">
        <v>120000</v>
      </c>
    </row>
    <row r="362" spans="1:25" s="4" customFormat="1" ht="238.5" customHeight="1" x14ac:dyDescent="0.3">
      <c r="A362" s="862" t="s">
        <v>750</v>
      </c>
      <c r="B362" s="839" t="s">
        <v>753</v>
      </c>
      <c r="C362" s="250" t="s">
        <v>1368</v>
      </c>
      <c r="D362" s="236" t="s">
        <v>98</v>
      </c>
      <c r="E362" s="714" t="s">
        <v>52</v>
      </c>
      <c r="F362" s="74" t="s">
        <v>754</v>
      </c>
      <c r="G362" s="224" t="s">
        <v>117</v>
      </c>
      <c r="H362" s="244"/>
      <c r="I362" s="244" t="s">
        <v>118</v>
      </c>
      <c r="J362" s="244" t="s">
        <v>118</v>
      </c>
      <c r="K362" s="244" t="s">
        <v>118</v>
      </c>
      <c r="L362" s="244" t="s">
        <v>118</v>
      </c>
      <c r="M362" s="244" t="s">
        <v>118</v>
      </c>
      <c r="N362" s="244" t="s">
        <v>118</v>
      </c>
      <c r="O362" s="244" t="s">
        <v>118</v>
      </c>
      <c r="P362" s="244" t="s">
        <v>118</v>
      </c>
      <c r="Q362" s="244" t="s">
        <v>118</v>
      </c>
      <c r="R362" s="244" t="s">
        <v>118</v>
      </c>
      <c r="S362" s="244" t="s">
        <v>118</v>
      </c>
      <c r="T362" s="244" t="s">
        <v>118</v>
      </c>
      <c r="U362" s="230">
        <v>0</v>
      </c>
      <c r="V362" s="258">
        <v>0</v>
      </c>
      <c r="W362" s="258">
        <v>0</v>
      </c>
      <c r="X362" s="258">
        <v>0</v>
      </c>
      <c r="Y362" s="258">
        <v>0</v>
      </c>
    </row>
    <row r="363" spans="1:25" s="4" customFormat="1" ht="183.75" customHeight="1" x14ac:dyDescent="0.3">
      <c r="A363" s="863"/>
      <c r="B363" s="840"/>
      <c r="C363" s="250" t="s">
        <v>1369</v>
      </c>
      <c r="D363" s="236" t="s">
        <v>98</v>
      </c>
      <c r="E363" s="715"/>
      <c r="F363" s="74" t="s">
        <v>755</v>
      </c>
      <c r="G363" s="224" t="s">
        <v>117</v>
      </c>
      <c r="H363" s="244"/>
      <c r="I363" s="244" t="s">
        <v>118</v>
      </c>
      <c r="J363" s="244" t="s">
        <v>118</v>
      </c>
      <c r="K363" s="244" t="s">
        <v>118</v>
      </c>
      <c r="L363" s="244" t="s">
        <v>118</v>
      </c>
      <c r="M363" s="244" t="s">
        <v>118</v>
      </c>
      <c r="N363" s="244" t="s">
        <v>118</v>
      </c>
      <c r="O363" s="244" t="s">
        <v>118</v>
      </c>
      <c r="P363" s="244" t="s">
        <v>118</v>
      </c>
      <c r="Q363" s="244" t="s">
        <v>118</v>
      </c>
      <c r="R363" s="244" t="s">
        <v>118</v>
      </c>
      <c r="S363" s="244" t="s">
        <v>118</v>
      </c>
      <c r="T363" s="244" t="s">
        <v>118</v>
      </c>
      <c r="U363" s="230">
        <v>0</v>
      </c>
      <c r="V363" s="258">
        <v>0</v>
      </c>
      <c r="W363" s="258">
        <v>0</v>
      </c>
      <c r="X363" s="258">
        <v>0</v>
      </c>
      <c r="Y363" s="258">
        <v>0</v>
      </c>
    </row>
    <row r="364" spans="1:25" ht="24" x14ac:dyDescent="0.3">
      <c r="A364" s="66" t="s">
        <v>756</v>
      </c>
      <c r="B364" s="927" t="s">
        <v>757</v>
      </c>
      <c r="C364" s="927"/>
      <c r="D364" s="927"/>
      <c r="E364" s="927"/>
      <c r="F364" s="927"/>
      <c r="G364" s="927"/>
      <c r="H364" s="927"/>
      <c r="I364" s="927"/>
      <c r="J364" s="927"/>
      <c r="K364" s="927"/>
      <c r="L364" s="927"/>
      <c r="M364" s="927"/>
      <c r="N364" s="927"/>
      <c r="O364" s="927"/>
      <c r="P364" s="927"/>
      <c r="Q364" s="927"/>
      <c r="R364" s="927"/>
      <c r="S364" s="927"/>
      <c r="T364" s="927"/>
      <c r="U364" s="51"/>
      <c r="V364" s="52"/>
      <c r="W364" s="52"/>
      <c r="X364" s="52"/>
      <c r="Y364" s="52"/>
    </row>
    <row r="365" spans="1:25" s="4" customFormat="1" ht="61.5" customHeight="1" x14ac:dyDescent="0.3">
      <c r="A365" s="249" t="s">
        <v>758</v>
      </c>
      <c r="B365" s="250" t="s">
        <v>1166</v>
      </c>
      <c r="C365" s="250" t="s">
        <v>1380</v>
      </c>
      <c r="D365" s="236" t="s">
        <v>1158</v>
      </c>
      <c r="E365" s="224">
        <v>2019</v>
      </c>
      <c r="F365" s="74" t="s">
        <v>1240</v>
      </c>
      <c r="G365" s="224" t="s">
        <v>117</v>
      </c>
      <c r="H365" s="224"/>
      <c r="I365" s="224" t="s">
        <v>118</v>
      </c>
      <c r="J365" s="224"/>
      <c r="K365" s="224"/>
      <c r="L365" s="224"/>
      <c r="M365" s="224"/>
      <c r="N365" s="224"/>
      <c r="O365" s="224"/>
      <c r="P365" s="224"/>
      <c r="Q365" s="224"/>
      <c r="R365" s="224"/>
      <c r="S365" s="224"/>
      <c r="T365" s="224"/>
      <c r="U365" s="230">
        <v>231183.69999999995</v>
      </c>
      <c r="V365" s="258">
        <v>48187.600000000006</v>
      </c>
      <c r="W365" s="258">
        <v>0</v>
      </c>
      <c r="X365" s="258">
        <v>0</v>
      </c>
      <c r="Y365" s="258">
        <v>0</v>
      </c>
    </row>
    <row r="366" spans="1:25" s="4" customFormat="1" ht="256.5" customHeight="1" x14ac:dyDescent="0.3">
      <c r="A366" s="252" t="s">
        <v>760</v>
      </c>
      <c r="B366" s="235" t="s">
        <v>759</v>
      </c>
      <c r="C366" s="235" t="s">
        <v>860</v>
      </c>
      <c r="D366" s="236" t="s">
        <v>1145</v>
      </c>
      <c r="E366" s="222" t="s">
        <v>418</v>
      </c>
      <c r="F366" s="61" t="s">
        <v>1229</v>
      </c>
      <c r="G366" s="224" t="s">
        <v>117</v>
      </c>
      <c r="H366" s="224"/>
      <c r="I366" s="224"/>
      <c r="J366" s="224"/>
      <c r="K366" s="224"/>
      <c r="L366" s="224"/>
      <c r="M366" s="224"/>
      <c r="N366" s="224"/>
      <c r="O366" s="224"/>
      <c r="P366" s="224"/>
      <c r="Q366" s="224"/>
      <c r="R366" s="224"/>
      <c r="S366" s="224"/>
      <c r="T366" s="224" t="s">
        <v>118</v>
      </c>
      <c r="U366" s="225">
        <v>0</v>
      </c>
      <c r="V366" s="226">
        <v>0</v>
      </c>
      <c r="W366" s="226">
        <v>0</v>
      </c>
      <c r="X366" s="226">
        <v>0</v>
      </c>
      <c r="Y366" s="226">
        <v>0</v>
      </c>
    </row>
    <row r="367" spans="1:25" s="4" customFormat="1" ht="78" customHeight="1" x14ac:dyDescent="0.3">
      <c r="A367" s="844" t="s">
        <v>1370</v>
      </c>
      <c r="B367" s="777" t="s">
        <v>861</v>
      </c>
      <c r="C367" s="777" t="s">
        <v>862</v>
      </c>
      <c r="D367" s="714" t="s">
        <v>1158</v>
      </c>
      <c r="E367" s="716" t="s">
        <v>273</v>
      </c>
      <c r="F367" s="61" t="s">
        <v>1230</v>
      </c>
      <c r="G367" s="224" t="s">
        <v>117</v>
      </c>
      <c r="H367" s="224"/>
      <c r="I367" s="126"/>
      <c r="J367" s="126" t="s">
        <v>118</v>
      </c>
      <c r="K367" s="126"/>
      <c r="L367" s="126"/>
      <c r="M367" s="126"/>
      <c r="N367" s="126"/>
      <c r="O367" s="126"/>
      <c r="P367" s="126"/>
      <c r="Q367" s="126"/>
      <c r="R367" s="126"/>
      <c r="S367" s="126"/>
      <c r="T367" s="126"/>
      <c r="U367" s="225">
        <v>0</v>
      </c>
      <c r="V367" s="226">
        <v>0</v>
      </c>
      <c r="W367" s="226">
        <v>0</v>
      </c>
      <c r="X367" s="226">
        <v>0</v>
      </c>
      <c r="Y367" s="226">
        <v>0</v>
      </c>
    </row>
    <row r="368" spans="1:25" s="4" customFormat="1" ht="78" customHeight="1" x14ac:dyDescent="0.3">
      <c r="A368" s="845"/>
      <c r="B368" s="778"/>
      <c r="C368" s="778"/>
      <c r="D368" s="715"/>
      <c r="E368" s="717"/>
      <c r="F368" s="61" t="s">
        <v>1169</v>
      </c>
      <c r="G368" s="224" t="s">
        <v>74</v>
      </c>
      <c r="H368" s="224"/>
      <c r="I368" s="126">
        <v>20000</v>
      </c>
      <c r="J368" s="126">
        <f>43540-I368</f>
        <v>23540</v>
      </c>
      <c r="K368" s="126">
        <f>70620-J368-I368</f>
        <v>27080</v>
      </c>
      <c r="L368" s="126">
        <f>101240-K368-J368-I368</f>
        <v>30620</v>
      </c>
      <c r="M368" s="126">
        <f>135400-L368-K368-J368-I368</f>
        <v>34160</v>
      </c>
      <c r="N368" s="126">
        <f>173100-M368-L368-K368-J368-I368</f>
        <v>37700</v>
      </c>
      <c r="O368" s="126">
        <f>214340-N368-M368-L368-K368-J368-I368</f>
        <v>41240</v>
      </c>
      <c r="P368" s="126">
        <v>44700</v>
      </c>
      <c r="Q368" s="126">
        <v>51600</v>
      </c>
      <c r="R368" s="126">
        <v>55000</v>
      </c>
      <c r="S368" s="126">
        <v>58000</v>
      </c>
      <c r="T368" s="126">
        <v>60600</v>
      </c>
      <c r="U368" s="225"/>
      <c r="V368" s="226"/>
      <c r="W368" s="226"/>
      <c r="X368" s="226"/>
      <c r="Y368" s="226"/>
    </row>
    <row r="369" spans="1:25" s="4" customFormat="1" ht="144" x14ac:dyDescent="0.3">
      <c r="A369" s="249" t="s">
        <v>763</v>
      </c>
      <c r="B369" s="250" t="s">
        <v>1216</v>
      </c>
      <c r="C369" s="243" t="s">
        <v>1440</v>
      </c>
      <c r="D369" s="236" t="s">
        <v>1221</v>
      </c>
      <c r="E369" s="224" t="s">
        <v>143</v>
      </c>
      <c r="F369" s="74" t="s">
        <v>1217</v>
      </c>
      <c r="G369" s="224" t="s">
        <v>74</v>
      </c>
      <c r="H369" s="224"/>
      <c r="I369" s="224"/>
      <c r="J369" s="126">
        <v>10000</v>
      </c>
      <c r="K369" s="100">
        <v>20000</v>
      </c>
      <c r="L369" s="100">
        <v>20000</v>
      </c>
      <c r="M369" s="100">
        <v>20000</v>
      </c>
      <c r="N369" s="100">
        <v>20000</v>
      </c>
      <c r="O369" s="100">
        <v>20000</v>
      </c>
      <c r="P369" s="100">
        <v>20000</v>
      </c>
      <c r="Q369" s="100">
        <v>20000</v>
      </c>
      <c r="R369" s="100">
        <v>20000</v>
      </c>
      <c r="S369" s="100">
        <v>20000</v>
      </c>
      <c r="T369" s="100">
        <v>20000</v>
      </c>
      <c r="U369" s="230">
        <v>41800</v>
      </c>
      <c r="V369" s="258">
        <v>0</v>
      </c>
      <c r="W369" s="258">
        <v>0</v>
      </c>
      <c r="X369" s="258">
        <v>0</v>
      </c>
      <c r="Y369" s="258">
        <v>41800</v>
      </c>
    </row>
    <row r="370" spans="1:25" s="4" customFormat="1" ht="168" x14ac:dyDescent="0.3">
      <c r="A370" s="249" t="s">
        <v>765</v>
      </c>
      <c r="B370" s="250" t="s">
        <v>761</v>
      </c>
      <c r="C370" s="250" t="s">
        <v>859</v>
      </c>
      <c r="D370" s="244" t="s">
        <v>762</v>
      </c>
      <c r="E370" s="224" t="s">
        <v>203</v>
      </c>
      <c r="F370" s="74" t="s">
        <v>1231</v>
      </c>
      <c r="G370" s="224" t="s">
        <v>31</v>
      </c>
      <c r="H370" s="224"/>
      <c r="I370" s="224"/>
      <c r="J370" s="224">
        <v>152</v>
      </c>
      <c r="K370" s="224">
        <v>152</v>
      </c>
      <c r="L370" s="224">
        <v>152</v>
      </c>
      <c r="M370" s="224">
        <v>152</v>
      </c>
      <c r="N370" s="224">
        <v>152</v>
      </c>
      <c r="O370" s="224">
        <v>152</v>
      </c>
      <c r="P370" s="224">
        <v>152</v>
      </c>
      <c r="Q370" s="224">
        <v>152</v>
      </c>
      <c r="R370" s="224">
        <v>152</v>
      </c>
      <c r="S370" s="224">
        <v>152</v>
      </c>
      <c r="T370" s="224">
        <v>152</v>
      </c>
      <c r="U370" s="230">
        <v>628506.67200000002</v>
      </c>
      <c r="V370" s="258">
        <v>0</v>
      </c>
      <c r="W370" s="258">
        <v>0</v>
      </c>
      <c r="X370" s="258">
        <v>0</v>
      </c>
      <c r="Y370" s="258">
        <v>628506.67200000002</v>
      </c>
    </row>
    <row r="371" spans="1:25" s="4" customFormat="1" ht="120" x14ac:dyDescent="0.3">
      <c r="A371" s="249" t="s">
        <v>768</v>
      </c>
      <c r="B371" s="250" t="s">
        <v>764</v>
      </c>
      <c r="C371" s="250" t="s">
        <v>1220</v>
      </c>
      <c r="D371" s="244" t="s">
        <v>1149</v>
      </c>
      <c r="E371" s="224" t="s">
        <v>143</v>
      </c>
      <c r="F371" s="74" t="s">
        <v>1231</v>
      </c>
      <c r="G371" s="224" t="s">
        <v>31</v>
      </c>
      <c r="H371" s="224"/>
      <c r="I371" s="224"/>
      <c r="J371" s="224">
        <v>82</v>
      </c>
      <c r="K371" s="224">
        <v>82</v>
      </c>
      <c r="L371" s="224">
        <v>82</v>
      </c>
      <c r="M371" s="224">
        <v>82</v>
      </c>
      <c r="N371" s="224">
        <v>82</v>
      </c>
      <c r="O371" s="224">
        <v>82</v>
      </c>
      <c r="P371" s="224">
        <v>82</v>
      </c>
      <c r="Q371" s="224">
        <v>82</v>
      </c>
      <c r="R371" s="224">
        <v>82</v>
      </c>
      <c r="S371" s="224">
        <v>82</v>
      </c>
      <c r="T371" s="224">
        <v>82</v>
      </c>
      <c r="U371" s="230">
        <v>115000</v>
      </c>
      <c r="V371" s="258">
        <v>0</v>
      </c>
      <c r="W371" s="258">
        <v>0</v>
      </c>
      <c r="X371" s="258">
        <v>0</v>
      </c>
      <c r="Y371" s="258">
        <v>115000</v>
      </c>
    </row>
    <row r="372" spans="1:25" s="4" customFormat="1" ht="240" x14ac:dyDescent="0.3">
      <c r="A372" s="249" t="s">
        <v>769</v>
      </c>
      <c r="B372" s="250" t="s">
        <v>766</v>
      </c>
      <c r="C372" s="250" t="s">
        <v>1381</v>
      </c>
      <c r="D372" s="236" t="s">
        <v>1153</v>
      </c>
      <c r="E372" s="224">
        <v>2019</v>
      </c>
      <c r="F372" s="74" t="s">
        <v>767</v>
      </c>
      <c r="G372" s="224" t="s">
        <v>117</v>
      </c>
      <c r="H372" s="224"/>
      <c r="I372" s="224" t="s">
        <v>118</v>
      </c>
      <c r="J372" s="224"/>
      <c r="K372" s="224"/>
      <c r="L372" s="224"/>
      <c r="M372" s="224"/>
      <c r="N372" s="224"/>
      <c r="O372" s="224"/>
      <c r="P372" s="224"/>
      <c r="Q372" s="224"/>
      <c r="R372" s="224"/>
      <c r="S372" s="224"/>
      <c r="T372" s="224"/>
      <c r="U372" s="230">
        <v>4000</v>
      </c>
      <c r="V372" s="258">
        <v>0</v>
      </c>
      <c r="W372" s="258">
        <v>0</v>
      </c>
      <c r="X372" s="258">
        <v>0</v>
      </c>
      <c r="Y372" s="258">
        <v>4000</v>
      </c>
    </row>
    <row r="373" spans="1:25" s="4" customFormat="1" ht="176.25" customHeight="1" x14ac:dyDescent="0.3">
      <c r="A373" s="249" t="s">
        <v>770</v>
      </c>
      <c r="B373" s="250" t="s">
        <v>771</v>
      </c>
      <c r="C373" s="250" t="s">
        <v>772</v>
      </c>
      <c r="D373" s="236" t="s">
        <v>1157</v>
      </c>
      <c r="E373" s="224">
        <v>2019</v>
      </c>
      <c r="F373" s="74" t="s">
        <v>773</v>
      </c>
      <c r="G373" s="224" t="s">
        <v>117</v>
      </c>
      <c r="H373" s="224"/>
      <c r="I373" s="224" t="s">
        <v>118</v>
      </c>
      <c r="J373" s="224"/>
      <c r="K373" s="224"/>
      <c r="L373" s="224"/>
      <c r="M373" s="224"/>
      <c r="N373" s="224"/>
      <c r="O373" s="224"/>
      <c r="P373" s="224"/>
      <c r="Q373" s="224"/>
      <c r="R373" s="224"/>
      <c r="S373" s="224"/>
      <c r="T373" s="224"/>
      <c r="U373" s="230">
        <v>2500</v>
      </c>
      <c r="V373" s="258">
        <v>0</v>
      </c>
      <c r="W373" s="258">
        <v>0</v>
      </c>
      <c r="X373" s="258">
        <v>0</v>
      </c>
      <c r="Y373" s="258">
        <v>2500</v>
      </c>
    </row>
    <row r="374" spans="1:25" s="4" customFormat="1" ht="138.75" customHeight="1" x14ac:dyDescent="0.3">
      <c r="A374" s="249" t="s">
        <v>1371</v>
      </c>
      <c r="B374" s="250" t="s">
        <v>1152</v>
      </c>
      <c r="C374" s="250" t="s">
        <v>1206</v>
      </c>
      <c r="D374" s="236" t="s">
        <v>1157</v>
      </c>
      <c r="E374" s="224">
        <v>2019</v>
      </c>
      <c r="F374" s="74" t="s">
        <v>1130</v>
      </c>
      <c r="G374" s="224" t="s">
        <v>31</v>
      </c>
      <c r="H374" s="224"/>
      <c r="I374" s="224">
        <v>2</v>
      </c>
      <c r="J374" s="224"/>
      <c r="K374" s="224"/>
      <c r="L374" s="224"/>
      <c r="M374" s="224"/>
      <c r="N374" s="224"/>
      <c r="O374" s="224"/>
      <c r="P374" s="224"/>
      <c r="Q374" s="224"/>
      <c r="R374" s="224"/>
      <c r="S374" s="224"/>
      <c r="T374" s="224"/>
      <c r="U374" s="230">
        <v>40000</v>
      </c>
      <c r="V374" s="258">
        <v>0</v>
      </c>
      <c r="W374" s="258">
        <v>0</v>
      </c>
      <c r="X374" s="258">
        <v>0</v>
      </c>
      <c r="Y374" s="258">
        <v>40000</v>
      </c>
    </row>
    <row r="375" spans="1:25" s="4" customFormat="1" ht="138" customHeight="1" x14ac:dyDescent="0.3">
      <c r="A375" s="758" t="s">
        <v>774</v>
      </c>
      <c r="B375" s="843" t="s">
        <v>1156</v>
      </c>
      <c r="C375" s="866" t="s">
        <v>1382</v>
      </c>
      <c r="D375" s="714" t="s">
        <v>1157</v>
      </c>
      <c r="E375" s="716">
        <v>2019</v>
      </c>
      <c r="F375" s="61" t="s">
        <v>775</v>
      </c>
      <c r="G375" s="224" t="s">
        <v>62</v>
      </c>
      <c r="H375" s="224"/>
      <c r="I375" s="224">
        <v>20</v>
      </c>
      <c r="J375" s="224">
        <v>25</v>
      </c>
      <c r="K375" s="224">
        <v>30</v>
      </c>
      <c r="L375" s="224">
        <v>35</v>
      </c>
      <c r="M375" s="224">
        <v>40</v>
      </c>
      <c r="N375" s="224">
        <v>45</v>
      </c>
      <c r="O375" s="224">
        <v>50</v>
      </c>
      <c r="P375" s="224">
        <v>55</v>
      </c>
      <c r="Q375" s="224">
        <v>60</v>
      </c>
      <c r="R375" s="224">
        <v>65</v>
      </c>
      <c r="S375" s="224">
        <v>70</v>
      </c>
      <c r="T375" s="224">
        <v>75</v>
      </c>
      <c r="U375" s="773">
        <v>7500</v>
      </c>
      <c r="V375" s="791">
        <v>0</v>
      </c>
      <c r="W375" s="791">
        <v>0</v>
      </c>
      <c r="X375" s="791">
        <v>0</v>
      </c>
      <c r="Y375" s="791">
        <v>7500</v>
      </c>
    </row>
    <row r="376" spans="1:25" s="4" customFormat="1" ht="97.5" customHeight="1" x14ac:dyDescent="0.3">
      <c r="A376" s="758"/>
      <c r="B376" s="843"/>
      <c r="C376" s="866"/>
      <c r="D376" s="715"/>
      <c r="E376" s="717"/>
      <c r="F376" s="61" t="s">
        <v>776</v>
      </c>
      <c r="G376" s="224" t="s">
        <v>62</v>
      </c>
      <c r="H376" s="224"/>
      <c r="I376" s="224">
        <v>15</v>
      </c>
      <c r="J376" s="224">
        <f>J375/4*3</f>
        <v>18.75</v>
      </c>
      <c r="K376" s="224">
        <f t="shared" ref="K376:S376" si="5">K375/4*3</f>
        <v>22.5</v>
      </c>
      <c r="L376" s="224">
        <f t="shared" si="5"/>
        <v>26.25</v>
      </c>
      <c r="M376" s="224">
        <f t="shared" si="5"/>
        <v>30</v>
      </c>
      <c r="N376" s="224">
        <f t="shared" si="5"/>
        <v>33.75</v>
      </c>
      <c r="O376" s="224">
        <f t="shared" si="5"/>
        <v>37.5</v>
      </c>
      <c r="P376" s="224">
        <f t="shared" si="5"/>
        <v>41.25</v>
      </c>
      <c r="Q376" s="224">
        <f t="shared" si="5"/>
        <v>45</v>
      </c>
      <c r="R376" s="224">
        <f t="shared" si="5"/>
        <v>48.75</v>
      </c>
      <c r="S376" s="224">
        <f t="shared" si="5"/>
        <v>52.5</v>
      </c>
      <c r="T376" s="224">
        <f>T375/4*3</f>
        <v>56.25</v>
      </c>
      <c r="U376" s="774"/>
      <c r="V376" s="792"/>
      <c r="W376" s="792"/>
      <c r="X376" s="792"/>
      <c r="Y376" s="792"/>
    </row>
    <row r="377" spans="1:25" s="4" customFormat="1" ht="165" customHeight="1" x14ac:dyDescent="0.3">
      <c r="A377" s="249" t="s">
        <v>777</v>
      </c>
      <c r="B377" s="250" t="s">
        <v>1185</v>
      </c>
      <c r="C377" s="250" t="s">
        <v>1191</v>
      </c>
      <c r="D377" s="217" t="s">
        <v>1187</v>
      </c>
      <c r="E377" s="224" t="s">
        <v>152</v>
      </c>
      <c r="F377" s="74" t="s">
        <v>779</v>
      </c>
      <c r="G377" s="224" t="s">
        <v>117</v>
      </c>
      <c r="H377" s="224"/>
      <c r="I377" s="99"/>
      <c r="J377" s="224"/>
      <c r="K377" s="224" t="s">
        <v>118</v>
      </c>
      <c r="L377" s="224"/>
      <c r="M377" s="224"/>
      <c r="N377" s="224"/>
      <c r="O377" s="224"/>
      <c r="P377" s="224"/>
      <c r="Q377" s="224"/>
      <c r="R377" s="224"/>
      <c r="S377" s="224"/>
      <c r="T377" s="224"/>
      <c r="U377" s="230">
        <v>550</v>
      </c>
      <c r="V377" s="258">
        <v>0</v>
      </c>
      <c r="W377" s="258">
        <v>0</v>
      </c>
      <c r="X377" s="258">
        <v>0</v>
      </c>
      <c r="Y377" s="258">
        <v>550</v>
      </c>
    </row>
    <row r="378" spans="1:25" s="4" customFormat="1" ht="144" x14ac:dyDescent="0.3">
      <c r="A378" s="249" t="s">
        <v>778</v>
      </c>
      <c r="B378" s="235" t="s">
        <v>1186</v>
      </c>
      <c r="C378" s="235" t="s">
        <v>1232</v>
      </c>
      <c r="D378" s="236" t="s">
        <v>1162</v>
      </c>
      <c r="E378" s="222" t="s">
        <v>1188</v>
      </c>
      <c r="F378" s="74" t="s">
        <v>1190</v>
      </c>
      <c r="G378" s="224" t="s">
        <v>31</v>
      </c>
      <c r="H378" s="224"/>
      <c r="I378" s="99"/>
      <c r="J378" s="224"/>
      <c r="K378" s="224">
        <v>1200</v>
      </c>
      <c r="L378" s="224">
        <v>1800</v>
      </c>
      <c r="M378" s="224">
        <v>2400</v>
      </c>
      <c r="N378" s="224">
        <v>3000</v>
      </c>
      <c r="O378" s="224">
        <v>3600</v>
      </c>
      <c r="P378" s="224">
        <v>4200</v>
      </c>
      <c r="Q378" s="224">
        <v>4800</v>
      </c>
      <c r="R378" s="224">
        <v>5400</v>
      </c>
      <c r="S378" s="224">
        <v>6000</v>
      </c>
      <c r="T378" s="224">
        <v>6200</v>
      </c>
      <c r="U378" s="230">
        <v>0</v>
      </c>
      <c r="V378" s="258">
        <v>0</v>
      </c>
      <c r="W378" s="258">
        <v>0</v>
      </c>
      <c r="X378" s="258">
        <v>0</v>
      </c>
      <c r="Y378" s="258">
        <v>0</v>
      </c>
    </row>
    <row r="379" spans="1:25" s="4" customFormat="1" ht="114.75" customHeight="1" x14ac:dyDescent="0.3">
      <c r="A379" s="844" t="s">
        <v>1110</v>
      </c>
      <c r="B379" s="777" t="s">
        <v>1154</v>
      </c>
      <c r="C379" s="777" t="s">
        <v>1202</v>
      </c>
      <c r="D379" s="714" t="s">
        <v>1157</v>
      </c>
      <c r="E379" s="716" t="s">
        <v>152</v>
      </c>
      <c r="F379" s="74" t="s">
        <v>1241</v>
      </c>
      <c r="G379" s="224" t="s">
        <v>117</v>
      </c>
      <c r="H379" s="224"/>
      <c r="I379" s="224" t="s">
        <v>118</v>
      </c>
      <c r="J379" s="224"/>
      <c r="K379" s="224"/>
      <c r="L379" s="224"/>
      <c r="M379" s="224"/>
      <c r="N379" s="224"/>
      <c r="O379" s="224"/>
      <c r="P379" s="224"/>
      <c r="Q379" s="224"/>
      <c r="R379" s="224"/>
      <c r="S379" s="224"/>
      <c r="T379" s="224"/>
      <c r="U379" s="230">
        <v>1000</v>
      </c>
      <c r="V379" s="258">
        <v>0</v>
      </c>
      <c r="W379" s="258">
        <v>0</v>
      </c>
      <c r="X379" s="258">
        <v>0</v>
      </c>
      <c r="Y379" s="258">
        <v>1000</v>
      </c>
    </row>
    <row r="380" spans="1:25" s="4" customFormat="1" ht="48" x14ac:dyDescent="0.3">
      <c r="A380" s="845"/>
      <c r="B380" s="778"/>
      <c r="C380" s="778"/>
      <c r="D380" s="715"/>
      <c r="E380" s="717"/>
      <c r="F380" s="74" t="s">
        <v>780</v>
      </c>
      <c r="G380" s="224" t="s">
        <v>117</v>
      </c>
      <c r="H380" s="224"/>
      <c r="I380" s="224" t="s">
        <v>118</v>
      </c>
      <c r="J380" s="224"/>
      <c r="K380" s="224"/>
      <c r="L380" s="224"/>
      <c r="M380" s="224"/>
      <c r="N380" s="224"/>
      <c r="O380" s="224"/>
      <c r="P380" s="224"/>
      <c r="Q380" s="224"/>
      <c r="R380" s="224"/>
      <c r="S380" s="224"/>
      <c r="T380" s="224"/>
      <c r="U380" s="230">
        <v>0</v>
      </c>
      <c r="V380" s="258">
        <v>0</v>
      </c>
      <c r="W380" s="258">
        <v>0</v>
      </c>
      <c r="X380" s="258">
        <v>0</v>
      </c>
      <c r="Y380" s="258">
        <v>0</v>
      </c>
    </row>
    <row r="381" spans="1:25" s="4" customFormat="1" ht="216" x14ac:dyDescent="0.3">
      <c r="A381" s="249" t="s">
        <v>1111</v>
      </c>
      <c r="B381" s="250" t="s">
        <v>1155</v>
      </c>
      <c r="C381" s="250" t="s">
        <v>1383</v>
      </c>
      <c r="D381" s="244" t="s">
        <v>1160</v>
      </c>
      <c r="E381" s="43" t="s">
        <v>52</v>
      </c>
      <c r="F381" s="74" t="s">
        <v>953</v>
      </c>
      <c r="G381" s="224" t="s">
        <v>31</v>
      </c>
      <c r="H381" s="224"/>
      <c r="I381" s="224">
        <v>2</v>
      </c>
      <c r="J381" s="43">
        <v>4</v>
      </c>
      <c r="K381" s="224">
        <v>6</v>
      </c>
      <c r="L381" s="43">
        <v>8</v>
      </c>
      <c r="M381" s="224">
        <v>10</v>
      </c>
      <c r="N381" s="43">
        <v>12</v>
      </c>
      <c r="O381" s="224">
        <v>14</v>
      </c>
      <c r="P381" s="43">
        <v>16</v>
      </c>
      <c r="Q381" s="224">
        <v>18</v>
      </c>
      <c r="R381" s="43">
        <v>20</v>
      </c>
      <c r="S381" s="224">
        <v>22</v>
      </c>
      <c r="T381" s="43">
        <v>24</v>
      </c>
      <c r="U381" s="230">
        <v>1500</v>
      </c>
      <c r="V381" s="258">
        <v>0</v>
      </c>
      <c r="W381" s="258">
        <v>0</v>
      </c>
      <c r="X381" s="258">
        <v>0</v>
      </c>
      <c r="Y381" s="258">
        <v>1500</v>
      </c>
    </row>
    <row r="382" spans="1:25" s="213" customFormat="1" ht="120" x14ac:dyDescent="0.25">
      <c r="A382" s="53" t="s">
        <v>1372</v>
      </c>
      <c r="B382" s="243" t="s">
        <v>933</v>
      </c>
      <c r="C382" s="243" t="s">
        <v>1384</v>
      </c>
      <c r="D382" s="244" t="s">
        <v>1159</v>
      </c>
      <c r="E382" s="43" t="s">
        <v>52</v>
      </c>
      <c r="F382" s="220" t="s">
        <v>934</v>
      </c>
      <c r="G382" s="257" t="s">
        <v>62</v>
      </c>
      <c r="H382" s="257" t="s">
        <v>140</v>
      </c>
      <c r="I382" s="257">
        <v>2.5</v>
      </c>
      <c r="J382" s="257">
        <v>2.5</v>
      </c>
      <c r="K382" s="257">
        <v>2.5</v>
      </c>
      <c r="L382" s="257">
        <v>2.5</v>
      </c>
      <c r="M382" s="257">
        <v>2.5</v>
      </c>
      <c r="N382" s="257">
        <v>2.5</v>
      </c>
      <c r="O382" s="257">
        <v>2.5</v>
      </c>
      <c r="P382" s="257">
        <v>2.5</v>
      </c>
      <c r="Q382" s="257">
        <v>2.5</v>
      </c>
      <c r="R382" s="257">
        <v>2.5</v>
      </c>
      <c r="S382" s="257">
        <v>2.5</v>
      </c>
      <c r="T382" s="257">
        <v>2.5</v>
      </c>
      <c r="U382" s="230">
        <v>17827.2</v>
      </c>
      <c r="V382" s="258">
        <v>17827.2</v>
      </c>
      <c r="W382" s="258">
        <v>0</v>
      </c>
      <c r="X382" s="258">
        <v>0</v>
      </c>
      <c r="Y382" s="258">
        <v>0</v>
      </c>
    </row>
    <row r="383" spans="1:25" s="4" customFormat="1" ht="72" x14ac:dyDescent="0.3">
      <c r="A383" s="249" t="s">
        <v>1373</v>
      </c>
      <c r="B383" s="250" t="s">
        <v>159</v>
      </c>
      <c r="C383" s="250" t="s">
        <v>1385</v>
      </c>
      <c r="D383" s="244" t="s">
        <v>1134</v>
      </c>
      <c r="E383" s="43" t="s">
        <v>52</v>
      </c>
      <c r="F383" s="61" t="s">
        <v>153</v>
      </c>
      <c r="G383" s="257" t="s">
        <v>74</v>
      </c>
      <c r="H383" s="224"/>
      <c r="I383" s="100">
        <v>8000</v>
      </c>
      <c r="J383" s="65">
        <v>8000</v>
      </c>
      <c r="K383" s="65">
        <v>8200</v>
      </c>
      <c r="L383" s="65">
        <v>8400</v>
      </c>
      <c r="M383" s="65">
        <v>8600</v>
      </c>
      <c r="N383" s="65">
        <v>8800</v>
      </c>
      <c r="O383" s="65">
        <v>9000</v>
      </c>
      <c r="P383" s="65">
        <v>9200</v>
      </c>
      <c r="Q383" s="65">
        <v>9400</v>
      </c>
      <c r="R383" s="65">
        <v>9600</v>
      </c>
      <c r="S383" s="65">
        <v>9800</v>
      </c>
      <c r="T383" s="100">
        <v>10000</v>
      </c>
      <c r="U383" s="230">
        <v>90000</v>
      </c>
      <c r="V383" s="258">
        <v>0</v>
      </c>
      <c r="W383" s="258">
        <v>0</v>
      </c>
      <c r="X383" s="258">
        <v>0</v>
      </c>
      <c r="Y383" s="258">
        <v>90000</v>
      </c>
    </row>
    <row r="384" spans="1:25" s="4" customFormat="1" ht="96" x14ac:dyDescent="0.3">
      <c r="A384" s="249" t="s">
        <v>781</v>
      </c>
      <c r="B384" s="250" t="s">
        <v>783</v>
      </c>
      <c r="C384" s="250" t="s">
        <v>1386</v>
      </c>
      <c r="D384" s="244" t="s">
        <v>1134</v>
      </c>
      <c r="E384" s="43" t="s">
        <v>52</v>
      </c>
      <c r="F384" s="245" t="s">
        <v>153</v>
      </c>
      <c r="G384" s="43" t="s">
        <v>74</v>
      </c>
      <c r="H384" s="224"/>
      <c r="I384" s="100">
        <v>20000</v>
      </c>
      <c r="J384" s="100">
        <v>20000</v>
      </c>
      <c r="K384" s="100">
        <v>21000</v>
      </c>
      <c r="L384" s="100">
        <v>22000</v>
      </c>
      <c r="M384" s="100">
        <v>23000</v>
      </c>
      <c r="N384" s="100">
        <v>24000</v>
      </c>
      <c r="O384" s="100">
        <v>25000</v>
      </c>
      <c r="P384" s="100">
        <v>26000</v>
      </c>
      <c r="Q384" s="100">
        <v>27000</v>
      </c>
      <c r="R384" s="100">
        <v>28000</v>
      </c>
      <c r="S384" s="100">
        <v>29000</v>
      </c>
      <c r="T384" s="100">
        <v>30000</v>
      </c>
      <c r="U384" s="225">
        <v>90000</v>
      </c>
      <c r="V384" s="226">
        <v>0</v>
      </c>
      <c r="W384" s="226">
        <v>0</v>
      </c>
      <c r="X384" s="226">
        <v>0</v>
      </c>
      <c r="Y384" s="226">
        <v>90000</v>
      </c>
    </row>
    <row r="385" spans="1:25" s="4" customFormat="1" ht="144" x14ac:dyDescent="0.3">
      <c r="A385" s="249" t="s">
        <v>782</v>
      </c>
      <c r="B385" s="250" t="s">
        <v>941</v>
      </c>
      <c r="C385" s="250" t="s">
        <v>1387</v>
      </c>
      <c r="D385" s="244" t="s">
        <v>1161</v>
      </c>
      <c r="E385" s="221" t="s">
        <v>52</v>
      </c>
      <c r="F385" s="61" t="s">
        <v>1124</v>
      </c>
      <c r="G385" s="224" t="s">
        <v>74</v>
      </c>
      <c r="H385" s="224"/>
      <c r="I385" s="43">
        <v>375</v>
      </c>
      <c r="J385" s="43">
        <v>375</v>
      </c>
      <c r="K385" s="43">
        <v>375</v>
      </c>
      <c r="L385" s="43">
        <v>375</v>
      </c>
      <c r="M385" s="43">
        <v>375</v>
      </c>
      <c r="N385" s="43">
        <v>375</v>
      </c>
      <c r="O385" s="43">
        <v>375</v>
      </c>
      <c r="P385" s="43">
        <v>375</v>
      </c>
      <c r="Q385" s="43">
        <v>375</v>
      </c>
      <c r="R385" s="43">
        <v>375</v>
      </c>
      <c r="S385" s="43">
        <v>375</v>
      </c>
      <c r="T385" s="43">
        <v>375</v>
      </c>
      <c r="U385" s="225">
        <v>35</v>
      </c>
      <c r="V385" s="226">
        <v>35</v>
      </c>
      <c r="W385" s="226">
        <v>0</v>
      </c>
      <c r="X385" s="226">
        <v>0</v>
      </c>
      <c r="Y385" s="226">
        <v>0</v>
      </c>
    </row>
    <row r="386" spans="1:25" s="4" customFormat="1" ht="144" x14ac:dyDescent="0.3">
      <c r="A386" s="249" t="s">
        <v>784</v>
      </c>
      <c r="B386" s="250" t="s">
        <v>785</v>
      </c>
      <c r="C386" s="250" t="s">
        <v>1125</v>
      </c>
      <c r="D386" s="244" t="s">
        <v>1134</v>
      </c>
      <c r="E386" s="224">
        <v>2019</v>
      </c>
      <c r="F386" s="74" t="s">
        <v>786</v>
      </c>
      <c r="G386" s="224" t="s">
        <v>117</v>
      </c>
      <c r="H386" s="224"/>
      <c r="I386" s="224" t="s">
        <v>118</v>
      </c>
      <c r="J386" s="224"/>
      <c r="K386" s="224"/>
      <c r="L386" s="224"/>
      <c r="M386" s="224"/>
      <c r="N386" s="224"/>
      <c r="O386" s="224"/>
      <c r="P386" s="224"/>
      <c r="Q386" s="224"/>
      <c r="R386" s="224"/>
      <c r="S386" s="224"/>
      <c r="T386" s="224"/>
      <c r="U386" s="230">
        <v>4000</v>
      </c>
      <c r="V386" s="258">
        <v>0</v>
      </c>
      <c r="W386" s="258">
        <v>0</v>
      </c>
      <c r="X386" s="258">
        <v>0</v>
      </c>
      <c r="Y386" s="258">
        <v>4000</v>
      </c>
    </row>
    <row r="387" spans="1:25" s="4" customFormat="1" ht="198.75" customHeight="1" x14ac:dyDescent="0.3">
      <c r="A387" s="244" t="s">
        <v>787</v>
      </c>
      <c r="B387" s="250" t="s">
        <v>788</v>
      </c>
      <c r="C387" s="250" t="s">
        <v>1141</v>
      </c>
      <c r="D387" s="244" t="s">
        <v>1134</v>
      </c>
      <c r="E387" s="222">
        <v>2020</v>
      </c>
      <c r="F387" s="61" t="s">
        <v>1207</v>
      </c>
      <c r="G387" s="224" t="s">
        <v>31</v>
      </c>
      <c r="H387" s="224"/>
      <c r="I387" s="43"/>
      <c r="J387" s="43">
        <v>3</v>
      </c>
      <c r="K387" s="43"/>
      <c r="L387" s="43"/>
      <c r="M387" s="43"/>
      <c r="N387" s="43"/>
      <c r="O387" s="43"/>
      <c r="P387" s="43"/>
      <c r="Q387" s="43"/>
      <c r="R387" s="43"/>
      <c r="S387" s="43"/>
      <c r="T387" s="43"/>
      <c r="U387" s="225">
        <v>0</v>
      </c>
      <c r="V387" s="226">
        <v>0</v>
      </c>
      <c r="W387" s="226">
        <v>0</v>
      </c>
      <c r="X387" s="226">
        <v>0</v>
      </c>
      <c r="Y387" s="226">
        <v>0</v>
      </c>
    </row>
    <row r="388" spans="1:25" s="4" customFormat="1" ht="144" x14ac:dyDescent="0.3">
      <c r="A388" s="249" t="s">
        <v>1374</v>
      </c>
      <c r="B388" s="250" t="s">
        <v>789</v>
      </c>
      <c r="C388" s="250" t="s">
        <v>1388</v>
      </c>
      <c r="D388" s="244" t="s">
        <v>1162</v>
      </c>
      <c r="E388" s="224" t="s">
        <v>52</v>
      </c>
      <c r="F388" s="74" t="s">
        <v>790</v>
      </c>
      <c r="G388" s="224" t="s">
        <v>117</v>
      </c>
      <c r="H388" s="224"/>
      <c r="I388" s="224" t="s">
        <v>118</v>
      </c>
      <c r="J388" s="224" t="s">
        <v>118</v>
      </c>
      <c r="K388" s="224" t="s">
        <v>118</v>
      </c>
      <c r="L388" s="224" t="s">
        <v>118</v>
      </c>
      <c r="M388" s="224" t="s">
        <v>118</v>
      </c>
      <c r="N388" s="224" t="s">
        <v>118</v>
      </c>
      <c r="O388" s="224" t="s">
        <v>118</v>
      </c>
      <c r="P388" s="224" t="s">
        <v>118</v>
      </c>
      <c r="Q388" s="224" t="s">
        <v>118</v>
      </c>
      <c r="R388" s="224" t="s">
        <v>118</v>
      </c>
      <c r="S388" s="224" t="s">
        <v>118</v>
      </c>
      <c r="T388" s="224" t="s">
        <v>118</v>
      </c>
      <c r="U388" s="230">
        <v>2269.1999999999994</v>
      </c>
      <c r="V388" s="258">
        <v>567.29999999999995</v>
      </c>
      <c r="W388" s="258">
        <v>0</v>
      </c>
      <c r="X388" s="258">
        <v>0</v>
      </c>
      <c r="Y388" s="258">
        <v>0</v>
      </c>
    </row>
    <row r="389" spans="1:25" s="4" customFormat="1" ht="96" x14ac:dyDescent="0.3">
      <c r="A389" s="249" t="s">
        <v>1375</v>
      </c>
      <c r="B389" s="250" t="s">
        <v>791</v>
      </c>
      <c r="C389" s="250" t="s">
        <v>1389</v>
      </c>
      <c r="D389" s="244" t="s">
        <v>1162</v>
      </c>
      <c r="E389" s="224" t="s">
        <v>258</v>
      </c>
      <c r="F389" s="74" t="s">
        <v>792</v>
      </c>
      <c r="G389" s="224" t="s">
        <v>117</v>
      </c>
      <c r="H389" s="224"/>
      <c r="I389" s="224" t="s">
        <v>118</v>
      </c>
      <c r="J389" s="224" t="s">
        <v>118</v>
      </c>
      <c r="K389" s="224" t="s">
        <v>118</v>
      </c>
      <c r="L389" s="224" t="s">
        <v>118</v>
      </c>
      <c r="M389" s="224" t="s">
        <v>118</v>
      </c>
      <c r="N389" s="224" t="s">
        <v>118</v>
      </c>
      <c r="O389" s="224" t="s">
        <v>118</v>
      </c>
      <c r="P389" s="224" t="s">
        <v>118</v>
      </c>
      <c r="Q389" s="224" t="s">
        <v>118</v>
      </c>
      <c r="R389" s="224" t="s">
        <v>118</v>
      </c>
      <c r="S389" s="224" t="s">
        <v>118</v>
      </c>
      <c r="T389" s="224" t="s">
        <v>118</v>
      </c>
      <c r="U389" s="230">
        <v>0</v>
      </c>
      <c r="V389" s="258">
        <v>0</v>
      </c>
      <c r="W389" s="258">
        <v>0</v>
      </c>
      <c r="X389" s="258">
        <v>0</v>
      </c>
      <c r="Y389" s="258">
        <v>0</v>
      </c>
    </row>
    <row r="390" spans="1:25" s="4" customFormat="1" ht="240" x14ac:dyDescent="0.3">
      <c r="A390" s="249" t="s">
        <v>1376</v>
      </c>
      <c r="B390" s="250" t="s">
        <v>793</v>
      </c>
      <c r="C390" s="250" t="s">
        <v>1390</v>
      </c>
      <c r="D390" s="257" t="s">
        <v>1163</v>
      </c>
      <c r="E390" s="224" t="s">
        <v>258</v>
      </c>
      <c r="F390" s="74" t="s">
        <v>794</v>
      </c>
      <c r="G390" s="224" t="s">
        <v>117</v>
      </c>
      <c r="H390" s="224"/>
      <c r="I390" s="224" t="s">
        <v>118</v>
      </c>
      <c r="J390" s="224" t="s">
        <v>118</v>
      </c>
      <c r="K390" s="224" t="s">
        <v>118</v>
      </c>
      <c r="L390" s="224" t="s">
        <v>118</v>
      </c>
      <c r="M390" s="224" t="s">
        <v>118</v>
      </c>
      <c r="N390" s="224" t="s">
        <v>118</v>
      </c>
      <c r="O390" s="224" t="s">
        <v>118</v>
      </c>
      <c r="P390" s="224" t="s">
        <v>118</v>
      </c>
      <c r="Q390" s="224" t="s">
        <v>118</v>
      </c>
      <c r="R390" s="224" t="s">
        <v>118</v>
      </c>
      <c r="S390" s="224" t="s">
        <v>118</v>
      </c>
      <c r="T390" s="224" t="s">
        <v>118</v>
      </c>
      <c r="U390" s="230">
        <v>0</v>
      </c>
      <c r="V390" s="258">
        <v>0</v>
      </c>
      <c r="W390" s="258">
        <v>0</v>
      </c>
      <c r="X390" s="258">
        <v>0</v>
      </c>
      <c r="Y390" s="258">
        <v>0</v>
      </c>
    </row>
    <row r="391" spans="1:25" s="4" customFormat="1" ht="192" x14ac:dyDescent="0.3">
      <c r="A391" s="249" t="s">
        <v>1112</v>
      </c>
      <c r="B391" s="250" t="s">
        <v>795</v>
      </c>
      <c r="C391" s="250" t="s">
        <v>1391</v>
      </c>
      <c r="D391" s="244" t="s">
        <v>1159</v>
      </c>
      <c r="E391" s="224" t="s">
        <v>258</v>
      </c>
      <c r="F391" s="74" t="s">
        <v>796</v>
      </c>
      <c r="G391" s="224" t="s">
        <v>117</v>
      </c>
      <c r="H391" s="224"/>
      <c r="I391" s="224" t="s">
        <v>118</v>
      </c>
      <c r="J391" s="224" t="s">
        <v>118</v>
      </c>
      <c r="K391" s="224" t="s">
        <v>118</v>
      </c>
      <c r="L391" s="224" t="s">
        <v>118</v>
      </c>
      <c r="M391" s="224" t="s">
        <v>118</v>
      </c>
      <c r="N391" s="224" t="s">
        <v>118</v>
      </c>
      <c r="O391" s="224" t="s">
        <v>118</v>
      </c>
      <c r="P391" s="224" t="s">
        <v>118</v>
      </c>
      <c r="Q391" s="224" t="s">
        <v>118</v>
      </c>
      <c r="R391" s="224" t="s">
        <v>118</v>
      </c>
      <c r="S391" s="224" t="s">
        <v>118</v>
      </c>
      <c r="T391" s="224" t="s">
        <v>118</v>
      </c>
      <c r="U391" s="230">
        <v>1800</v>
      </c>
      <c r="V391" s="258">
        <v>450</v>
      </c>
      <c r="W391" s="258">
        <v>0</v>
      </c>
      <c r="X391" s="258">
        <v>0</v>
      </c>
      <c r="Y391" s="258">
        <v>0</v>
      </c>
    </row>
    <row r="392" spans="1:25" s="4" customFormat="1" ht="144" x14ac:dyDescent="0.3">
      <c r="A392" s="249" t="s">
        <v>1113</v>
      </c>
      <c r="B392" s="250" t="s">
        <v>797</v>
      </c>
      <c r="C392" s="250" t="s">
        <v>1392</v>
      </c>
      <c r="D392" s="244" t="s">
        <v>1159</v>
      </c>
      <c r="E392" s="224" t="s">
        <v>258</v>
      </c>
      <c r="F392" s="74" t="s">
        <v>798</v>
      </c>
      <c r="G392" s="224" t="s">
        <v>117</v>
      </c>
      <c r="H392" s="224"/>
      <c r="I392" s="224" t="s">
        <v>118</v>
      </c>
      <c r="J392" s="224" t="s">
        <v>118</v>
      </c>
      <c r="K392" s="224" t="s">
        <v>118</v>
      </c>
      <c r="L392" s="224" t="s">
        <v>118</v>
      </c>
      <c r="M392" s="224" t="s">
        <v>118</v>
      </c>
      <c r="N392" s="224" t="s">
        <v>118</v>
      </c>
      <c r="O392" s="224" t="s">
        <v>118</v>
      </c>
      <c r="P392" s="224" t="s">
        <v>118</v>
      </c>
      <c r="Q392" s="224" t="s">
        <v>118</v>
      </c>
      <c r="R392" s="224" t="s">
        <v>118</v>
      </c>
      <c r="S392" s="224" t="s">
        <v>118</v>
      </c>
      <c r="T392" s="224" t="s">
        <v>118</v>
      </c>
      <c r="U392" s="230">
        <v>0</v>
      </c>
      <c r="V392" s="258">
        <v>0</v>
      </c>
      <c r="W392" s="258">
        <v>0</v>
      </c>
      <c r="X392" s="258">
        <v>0</v>
      </c>
      <c r="Y392" s="258">
        <v>0</v>
      </c>
    </row>
    <row r="393" spans="1:25" s="4" customFormat="1" ht="215.25" customHeight="1" x14ac:dyDescent="0.3">
      <c r="A393" s="249" t="s">
        <v>1114</v>
      </c>
      <c r="B393" s="250" t="s">
        <v>799</v>
      </c>
      <c r="C393" s="250" t="s">
        <v>1393</v>
      </c>
      <c r="D393" s="244" t="s">
        <v>1159</v>
      </c>
      <c r="E393" s="224" t="s">
        <v>258</v>
      </c>
      <c r="F393" s="74" t="s">
        <v>800</v>
      </c>
      <c r="G393" s="224" t="s">
        <v>117</v>
      </c>
      <c r="H393" s="224"/>
      <c r="I393" s="224" t="s">
        <v>118</v>
      </c>
      <c r="J393" s="224" t="s">
        <v>118</v>
      </c>
      <c r="K393" s="224" t="s">
        <v>118</v>
      </c>
      <c r="L393" s="224" t="s">
        <v>118</v>
      </c>
      <c r="M393" s="224" t="s">
        <v>118</v>
      </c>
      <c r="N393" s="224" t="s">
        <v>118</v>
      </c>
      <c r="O393" s="224" t="s">
        <v>118</v>
      </c>
      <c r="P393" s="224" t="s">
        <v>118</v>
      </c>
      <c r="Q393" s="224" t="s">
        <v>118</v>
      </c>
      <c r="R393" s="224" t="s">
        <v>118</v>
      </c>
      <c r="S393" s="224" t="s">
        <v>118</v>
      </c>
      <c r="T393" s="224" t="s">
        <v>118</v>
      </c>
      <c r="U393" s="230">
        <v>0</v>
      </c>
      <c r="V393" s="258">
        <v>0</v>
      </c>
      <c r="W393" s="258">
        <v>0</v>
      </c>
      <c r="X393" s="258">
        <v>0</v>
      </c>
      <c r="Y393" s="258">
        <v>0</v>
      </c>
    </row>
    <row r="394" spans="1:25" s="4" customFormat="1" ht="149.25" customHeight="1" x14ac:dyDescent="0.3">
      <c r="A394" s="249" t="s">
        <v>848</v>
      </c>
      <c r="B394" s="250" t="s">
        <v>801</v>
      </c>
      <c r="C394" s="250" t="s">
        <v>1394</v>
      </c>
      <c r="D394" s="244" t="s">
        <v>1159</v>
      </c>
      <c r="E394" s="224" t="s">
        <v>52</v>
      </c>
      <c r="F394" s="74" t="s">
        <v>802</v>
      </c>
      <c r="G394" s="224" t="s">
        <v>117</v>
      </c>
      <c r="H394" s="224"/>
      <c r="I394" s="224" t="s">
        <v>118</v>
      </c>
      <c r="J394" s="224" t="s">
        <v>118</v>
      </c>
      <c r="K394" s="224" t="s">
        <v>118</v>
      </c>
      <c r="L394" s="224" t="s">
        <v>118</v>
      </c>
      <c r="M394" s="224" t="s">
        <v>118</v>
      </c>
      <c r="N394" s="224" t="s">
        <v>118</v>
      </c>
      <c r="O394" s="224" t="s">
        <v>118</v>
      </c>
      <c r="P394" s="224" t="s">
        <v>118</v>
      </c>
      <c r="Q394" s="224" t="s">
        <v>118</v>
      </c>
      <c r="R394" s="224" t="s">
        <v>118</v>
      </c>
      <c r="S394" s="224" t="s">
        <v>118</v>
      </c>
      <c r="T394" s="224" t="s">
        <v>118</v>
      </c>
      <c r="U394" s="230">
        <v>0</v>
      </c>
      <c r="V394" s="258">
        <v>0</v>
      </c>
      <c r="W394" s="258">
        <v>0</v>
      </c>
      <c r="X394" s="258">
        <v>0</v>
      </c>
      <c r="Y394" s="258">
        <v>0</v>
      </c>
    </row>
    <row r="395" spans="1:25" s="4" customFormat="1" ht="96" x14ac:dyDescent="0.3">
      <c r="A395" s="249" t="s">
        <v>849</v>
      </c>
      <c r="B395" s="250" t="s">
        <v>1164</v>
      </c>
      <c r="C395" s="250" t="s">
        <v>1395</v>
      </c>
      <c r="D395" s="244" t="s">
        <v>1165</v>
      </c>
      <c r="E395" s="224">
        <v>2020</v>
      </c>
      <c r="F395" s="74" t="s">
        <v>803</v>
      </c>
      <c r="G395" s="224" t="s">
        <v>117</v>
      </c>
      <c r="H395" s="224"/>
      <c r="I395" s="224"/>
      <c r="J395" s="224" t="s">
        <v>118</v>
      </c>
      <c r="K395" s="224"/>
      <c r="L395" s="224"/>
      <c r="M395" s="224"/>
      <c r="N395" s="224"/>
      <c r="O395" s="224"/>
      <c r="P395" s="224"/>
      <c r="Q395" s="224"/>
      <c r="R395" s="224"/>
      <c r="S395" s="224"/>
      <c r="T395" s="224"/>
      <c r="U395" s="230">
        <v>0</v>
      </c>
      <c r="V395" s="258">
        <v>0</v>
      </c>
      <c r="W395" s="258">
        <v>0</v>
      </c>
      <c r="X395" s="258">
        <v>0</v>
      </c>
      <c r="Y395" s="258">
        <v>0</v>
      </c>
    </row>
    <row r="396" spans="1:25" s="4" customFormat="1" ht="275.25" customHeight="1" x14ac:dyDescent="0.3">
      <c r="A396" s="249" t="s">
        <v>850</v>
      </c>
      <c r="B396" s="250" t="s">
        <v>804</v>
      </c>
      <c r="C396" s="250" t="s">
        <v>1396</v>
      </c>
      <c r="D396" s="244" t="s">
        <v>1162</v>
      </c>
      <c r="E396" s="224">
        <v>2020</v>
      </c>
      <c r="F396" s="74" t="s">
        <v>805</v>
      </c>
      <c r="G396" s="224" t="s">
        <v>117</v>
      </c>
      <c r="H396" s="224"/>
      <c r="I396" s="224"/>
      <c r="J396" s="224" t="s">
        <v>118</v>
      </c>
      <c r="K396" s="224"/>
      <c r="L396" s="224"/>
      <c r="M396" s="224"/>
      <c r="N396" s="224"/>
      <c r="O396" s="224"/>
      <c r="P396" s="224"/>
      <c r="Q396" s="224"/>
      <c r="R396" s="224"/>
      <c r="S396" s="224"/>
      <c r="T396" s="224"/>
      <c r="U396" s="230">
        <v>0</v>
      </c>
      <c r="V396" s="258">
        <v>0</v>
      </c>
      <c r="W396" s="258">
        <v>0</v>
      </c>
      <c r="X396" s="258">
        <v>0</v>
      </c>
      <c r="Y396" s="258">
        <v>0</v>
      </c>
    </row>
    <row r="397" spans="1:25" s="4" customFormat="1" ht="72" x14ac:dyDescent="0.3">
      <c r="A397" s="759" t="s">
        <v>1377</v>
      </c>
      <c r="B397" s="859" t="s">
        <v>806</v>
      </c>
      <c r="C397" s="243" t="s">
        <v>1397</v>
      </c>
      <c r="D397" s="257" t="s">
        <v>352</v>
      </c>
      <c r="E397" s="224" t="s">
        <v>91</v>
      </c>
      <c r="F397" s="61" t="s">
        <v>1116</v>
      </c>
      <c r="G397" s="224" t="s">
        <v>117</v>
      </c>
      <c r="H397" s="224"/>
      <c r="I397" s="224"/>
      <c r="J397" s="224" t="s">
        <v>118</v>
      </c>
      <c r="K397" s="224"/>
      <c r="L397" s="224"/>
      <c r="M397" s="224"/>
      <c r="N397" s="224"/>
      <c r="O397" s="224"/>
      <c r="P397" s="224"/>
      <c r="Q397" s="224"/>
      <c r="R397" s="224"/>
      <c r="S397" s="224"/>
      <c r="T397" s="224"/>
      <c r="U397" s="230">
        <v>0</v>
      </c>
      <c r="V397" s="258">
        <v>0</v>
      </c>
      <c r="W397" s="258">
        <v>0</v>
      </c>
      <c r="X397" s="258">
        <v>0</v>
      </c>
      <c r="Y397" s="258">
        <v>0</v>
      </c>
    </row>
    <row r="398" spans="1:25" s="4" customFormat="1" ht="72" x14ac:dyDescent="0.3">
      <c r="A398" s="759"/>
      <c r="B398" s="861"/>
      <c r="C398" s="243" t="s">
        <v>1398</v>
      </c>
      <c r="D398" s="257" t="s">
        <v>352</v>
      </c>
      <c r="E398" s="224" t="s">
        <v>91</v>
      </c>
      <c r="F398" s="61" t="s">
        <v>1116</v>
      </c>
      <c r="G398" s="224" t="s">
        <v>117</v>
      </c>
      <c r="H398" s="224"/>
      <c r="I398" s="224"/>
      <c r="J398" s="224" t="s">
        <v>118</v>
      </c>
      <c r="K398" s="224"/>
      <c r="L398" s="224"/>
      <c r="M398" s="224"/>
      <c r="N398" s="224"/>
      <c r="O398" s="224"/>
      <c r="P398" s="224"/>
      <c r="Q398" s="224"/>
      <c r="R398" s="224"/>
      <c r="S398" s="224"/>
      <c r="T398" s="224"/>
      <c r="U398" s="230">
        <v>0</v>
      </c>
      <c r="V398" s="258">
        <v>0</v>
      </c>
      <c r="W398" s="258">
        <v>0</v>
      </c>
      <c r="X398" s="258">
        <v>0</v>
      </c>
      <c r="Y398" s="258">
        <v>0</v>
      </c>
    </row>
    <row r="399" spans="1:25" s="4" customFormat="1" ht="72" x14ac:dyDescent="0.3">
      <c r="A399" s="759" t="s">
        <v>1378</v>
      </c>
      <c r="B399" s="859" t="s">
        <v>807</v>
      </c>
      <c r="C399" s="243" t="s">
        <v>808</v>
      </c>
      <c r="D399" s="257" t="s">
        <v>809</v>
      </c>
      <c r="E399" s="224" t="s">
        <v>91</v>
      </c>
      <c r="F399" s="61" t="s">
        <v>1117</v>
      </c>
      <c r="G399" s="224" t="s">
        <v>117</v>
      </c>
      <c r="H399" s="224"/>
      <c r="I399" s="224"/>
      <c r="J399" s="224" t="s">
        <v>118</v>
      </c>
      <c r="K399" s="224"/>
      <c r="L399" s="224"/>
      <c r="M399" s="224"/>
      <c r="N399" s="224"/>
      <c r="O399" s="224"/>
      <c r="P399" s="224"/>
      <c r="Q399" s="224"/>
      <c r="R399" s="224"/>
      <c r="S399" s="224"/>
      <c r="T399" s="224"/>
      <c r="U399" s="230">
        <v>0</v>
      </c>
      <c r="V399" s="258">
        <v>0</v>
      </c>
      <c r="W399" s="258">
        <v>0</v>
      </c>
      <c r="X399" s="258">
        <v>0</v>
      </c>
      <c r="Y399" s="258">
        <v>0</v>
      </c>
    </row>
    <row r="400" spans="1:25" s="4" customFormat="1" ht="72" x14ac:dyDescent="0.3">
      <c r="A400" s="759"/>
      <c r="B400" s="861"/>
      <c r="C400" s="243" t="s">
        <v>1399</v>
      </c>
      <c r="D400" s="257" t="s">
        <v>352</v>
      </c>
      <c r="E400" s="224" t="s">
        <v>91</v>
      </c>
      <c r="F400" s="61" t="s">
        <v>1117</v>
      </c>
      <c r="G400" s="224" t="s">
        <v>117</v>
      </c>
      <c r="H400" s="224"/>
      <c r="I400" s="224"/>
      <c r="J400" s="224" t="s">
        <v>118</v>
      </c>
      <c r="K400" s="224"/>
      <c r="L400" s="224"/>
      <c r="M400" s="224"/>
      <c r="N400" s="224"/>
      <c r="O400" s="224"/>
      <c r="P400" s="224"/>
      <c r="Q400" s="224"/>
      <c r="R400" s="224"/>
      <c r="S400" s="224"/>
      <c r="T400" s="224"/>
      <c r="U400" s="230">
        <v>0</v>
      </c>
      <c r="V400" s="258">
        <v>0</v>
      </c>
      <c r="W400" s="258">
        <v>0</v>
      </c>
      <c r="X400" s="258">
        <v>0</v>
      </c>
      <c r="Y400" s="258">
        <v>0</v>
      </c>
    </row>
    <row r="401" spans="1:25" s="4" customFormat="1" ht="72" x14ac:dyDescent="0.3">
      <c r="A401" s="244" t="s">
        <v>1379</v>
      </c>
      <c r="B401" s="243" t="s">
        <v>810</v>
      </c>
      <c r="C401" s="243" t="s">
        <v>1400</v>
      </c>
      <c r="D401" s="257" t="s">
        <v>352</v>
      </c>
      <c r="E401" s="224" t="s">
        <v>91</v>
      </c>
      <c r="F401" s="61" t="s">
        <v>1118</v>
      </c>
      <c r="G401" s="224" t="s">
        <v>117</v>
      </c>
      <c r="H401" s="224"/>
      <c r="I401" s="224"/>
      <c r="J401" s="224" t="s">
        <v>118</v>
      </c>
      <c r="K401" s="224"/>
      <c r="L401" s="224"/>
      <c r="M401" s="224"/>
      <c r="N401" s="224"/>
      <c r="O401" s="224"/>
      <c r="P401" s="224"/>
      <c r="Q401" s="224"/>
      <c r="R401" s="224"/>
      <c r="S401" s="224"/>
      <c r="T401" s="224"/>
      <c r="U401" s="230">
        <v>0</v>
      </c>
      <c r="V401" s="258">
        <v>0</v>
      </c>
      <c r="W401" s="258">
        <v>0</v>
      </c>
      <c r="X401" s="258">
        <v>0</v>
      </c>
      <c r="Y401" s="258">
        <v>0</v>
      </c>
    </row>
    <row r="402" spans="1:25" ht="30" x14ac:dyDescent="0.3">
      <c r="A402" s="101"/>
      <c r="B402" s="102"/>
      <c r="C402" s="103"/>
      <c r="D402" s="101"/>
      <c r="E402" s="104"/>
      <c r="F402" s="105" t="s">
        <v>811</v>
      </c>
      <c r="G402" s="106"/>
      <c r="H402" s="107"/>
      <c r="I402" s="107"/>
      <c r="J402" s="107"/>
      <c r="K402" s="107"/>
      <c r="L402" s="107"/>
      <c r="M402" s="107"/>
      <c r="N402" s="107"/>
      <c r="O402" s="107"/>
      <c r="P402" s="107"/>
      <c r="Q402" s="107"/>
      <c r="R402" s="107"/>
      <c r="S402" s="107"/>
      <c r="T402" s="107"/>
      <c r="U402" s="113">
        <f>SUM(U16:U401)</f>
        <v>190721764.17199993</v>
      </c>
      <c r="V402" s="113">
        <f>SUM(V228:V401)+SUM(V16:V208)+39090.6+282368.8+9341089.8+183614.6+590000+625000+245000+1080000+146000+200000+281907.3+86779.6+309500+71629.7+129706.8+50000</f>
        <v>27486290.400000002</v>
      </c>
      <c r="W402" s="113">
        <f>SUM(W16:W401)</f>
        <v>19491178.5</v>
      </c>
      <c r="X402" s="113">
        <f t="shared" ref="X402:Y402" si="6">SUM(X16:X401)</f>
        <v>43199117.699999996</v>
      </c>
      <c r="Y402" s="113">
        <f t="shared" si="6"/>
        <v>37806449.971999995</v>
      </c>
    </row>
    <row r="403" spans="1:25" s="1" customFormat="1" x14ac:dyDescent="0.3">
      <c r="A403" s="12"/>
      <c r="B403" s="13"/>
      <c r="C403" s="13"/>
      <c r="D403" s="14"/>
      <c r="E403" s="12"/>
      <c r="F403" s="15"/>
      <c r="G403" s="12"/>
      <c r="H403" s="12"/>
      <c r="I403" s="12"/>
      <c r="J403" s="12"/>
      <c r="K403" s="12"/>
      <c r="L403" s="12"/>
      <c r="M403" s="12"/>
      <c r="N403" s="12"/>
      <c r="O403" s="12"/>
      <c r="P403" s="12"/>
      <c r="Q403" s="12"/>
      <c r="R403" s="12"/>
      <c r="S403" s="12"/>
      <c r="T403" s="12"/>
      <c r="U403" s="24"/>
      <c r="V403" s="24"/>
      <c r="W403" s="24"/>
      <c r="X403" s="24"/>
      <c r="Y403" s="24"/>
    </row>
    <row r="404" spans="1:25" s="1" customFormat="1" x14ac:dyDescent="0.3">
      <c r="A404" s="12"/>
      <c r="B404" s="13"/>
      <c r="C404" s="13"/>
      <c r="D404" s="14"/>
      <c r="E404" s="12"/>
      <c r="F404" s="15"/>
      <c r="G404" s="12"/>
      <c r="H404" s="12"/>
      <c r="I404" s="12"/>
      <c r="J404" s="12"/>
      <c r="K404" s="12"/>
      <c r="L404" s="12"/>
      <c r="M404" s="12"/>
      <c r="N404" s="12"/>
      <c r="O404" s="12"/>
      <c r="P404" s="12"/>
      <c r="Q404" s="12"/>
      <c r="R404" s="12"/>
      <c r="S404" s="12"/>
      <c r="T404" s="12"/>
      <c r="U404" s="24"/>
      <c r="V404" s="24"/>
      <c r="W404" s="24"/>
      <c r="X404" s="24"/>
      <c r="Y404" s="24"/>
    </row>
    <row r="405" spans="1:25" s="1" customFormat="1" x14ac:dyDescent="0.3">
      <c r="A405" s="12"/>
      <c r="B405" s="13"/>
      <c r="C405" s="13"/>
      <c r="D405" s="14"/>
      <c r="E405" s="12"/>
      <c r="F405" s="15"/>
      <c r="G405" s="12"/>
      <c r="H405" s="12"/>
      <c r="I405" s="12"/>
      <c r="J405" s="12"/>
      <c r="K405" s="12"/>
      <c r="L405" s="12"/>
      <c r="M405" s="12"/>
      <c r="N405" s="12"/>
      <c r="O405" s="12"/>
      <c r="P405" s="12"/>
      <c r="Q405" s="12"/>
      <c r="R405" s="12"/>
      <c r="S405" s="12"/>
      <c r="T405" s="12"/>
      <c r="U405" s="24"/>
      <c r="V405" s="24"/>
      <c r="W405" s="24"/>
      <c r="X405" s="24"/>
      <c r="Y405" s="24"/>
    </row>
    <row r="406" spans="1:25" s="1" customFormat="1" x14ac:dyDescent="0.3">
      <c r="A406" s="12"/>
      <c r="B406" s="13"/>
      <c r="C406" s="13"/>
      <c r="D406" s="14"/>
      <c r="E406" s="12"/>
      <c r="F406" s="15"/>
      <c r="G406" s="12"/>
      <c r="H406" s="12"/>
      <c r="I406" s="12"/>
      <c r="J406" s="12"/>
      <c r="K406" s="12"/>
      <c r="L406" s="12"/>
      <c r="M406" s="12"/>
      <c r="N406" s="12"/>
      <c r="O406" s="12"/>
      <c r="P406" s="12"/>
      <c r="Q406" s="12"/>
      <c r="R406" s="12"/>
      <c r="S406" s="12"/>
      <c r="T406" s="12"/>
      <c r="U406" s="24"/>
      <c r="V406" s="24"/>
      <c r="W406" s="24"/>
      <c r="X406" s="24"/>
      <c r="Y406" s="24"/>
    </row>
    <row r="407" spans="1:25" s="1" customFormat="1" x14ac:dyDescent="0.3">
      <c r="A407" s="12"/>
      <c r="B407" s="13"/>
      <c r="C407" s="13"/>
      <c r="D407" s="14"/>
      <c r="E407" s="12"/>
      <c r="F407" s="15"/>
      <c r="G407" s="12"/>
      <c r="H407" s="12"/>
      <c r="I407" s="12"/>
      <c r="J407" s="12"/>
      <c r="K407" s="12"/>
      <c r="L407" s="12"/>
      <c r="M407" s="12"/>
      <c r="N407" s="12"/>
      <c r="O407" s="12"/>
      <c r="P407" s="12"/>
      <c r="Q407" s="12"/>
      <c r="R407" s="12"/>
      <c r="S407" s="12"/>
      <c r="T407" s="12"/>
      <c r="U407" s="24"/>
      <c r="V407" s="24"/>
      <c r="W407" s="24"/>
      <c r="X407" s="24"/>
      <c r="Y407" s="24"/>
    </row>
    <row r="408" spans="1:25" s="1" customFormat="1" x14ac:dyDescent="0.3">
      <c r="A408" s="12"/>
      <c r="B408" s="13"/>
      <c r="C408" s="13"/>
      <c r="D408" s="14"/>
      <c r="E408" s="12"/>
      <c r="F408" s="15"/>
      <c r="G408" s="12"/>
      <c r="H408" s="12"/>
      <c r="I408" s="12"/>
      <c r="J408" s="12"/>
      <c r="K408" s="12"/>
      <c r="L408" s="12"/>
      <c r="M408" s="12"/>
      <c r="N408" s="12"/>
      <c r="O408" s="12"/>
      <c r="P408" s="12"/>
      <c r="Q408" s="12"/>
      <c r="R408" s="12"/>
      <c r="S408" s="12"/>
      <c r="T408" s="12"/>
      <c r="U408" s="24"/>
      <c r="V408" s="24"/>
      <c r="W408" s="24"/>
      <c r="X408" s="24"/>
      <c r="Y408" s="24"/>
    </row>
    <row r="409" spans="1:25" s="1" customFormat="1" x14ac:dyDescent="0.3">
      <c r="A409" s="12"/>
      <c r="B409" s="13"/>
      <c r="C409" s="13"/>
      <c r="D409" s="14"/>
      <c r="E409" s="12"/>
      <c r="F409" s="15"/>
      <c r="G409" s="12"/>
      <c r="H409" s="12"/>
      <c r="I409" s="12"/>
      <c r="J409" s="12"/>
      <c r="K409" s="12"/>
      <c r="L409" s="12"/>
      <c r="M409" s="12"/>
      <c r="N409" s="12"/>
      <c r="O409" s="12"/>
      <c r="P409" s="12"/>
      <c r="Q409" s="12"/>
      <c r="R409" s="12"/>
      <c r="S409" s="12"/>
      <c r="T409" s="12"/>
      <c r="U409" s="24"/>
      <c r="V409" s="24"/>
      <c r="W409" s="24"/>
      <c r="X409" s="24"/>
      <c r="Y409" s="24"/>
    </row>
    <row r="410" spans="1:25" s="1" customFormat="1" x14ac:dyDescent="0.3">
      <c r="A410" s="12"/>
      <c r="B410" s="13"/>
      <c r="C410" s="13"/>
      <c r="D410" s="14"/>
      <c r="E410" s="12"/>
      <c r="F410" s="15"/>
      <c r="G410" s="12"/>
      <c r="H410" s="12"/>
      <c r="I410" s="12"/>
      <c r="J410" s="12"/>
      <c r="K410" s="12"/>
      <c r="L410" s="12"/>
      <c r="M410" s="12"/>
      <c r="N410" s="12"/>
      <c r="O410" s="12"/>
      <c r="P410" s="12"/>
      <c r="Q410" s="12"/>
      <c r="R410" s="12"/>
      <c r="S410" s="12"/>
      <c r="T410" s="12"/>
      <c r="U410" s="24"/>
      <c r="V410" s="24"/>
      <c r="W410" s="24"/>
      <c r="X410" s="24"/>
      <c r="Y410" s="24"/>
    </row>
    <row r="411" spans="1:25" s="1" customFormat="1" x14ac:dyDescent="0.3">
      <c r="A411" s="12"/>
      <c r="B411" s="13"/>
      <c r="C411" s="13"/>
      <c r="D411" s="14"/>
      <c r="E411" s="12"/>
      <c r="F411" s="15"/>
      <c r="G411" s="12"/>
      <c r="H411" s="12"/>
      <c r="I411" s="12"/>
      <c r="J411" s="12"/>
      <c r="K411" s="12"/>
      <c r="L411" s="12"/>
      <c r="M411" s="12"/>
      <c r="N411" s="12"/>
      <c r="O411" s="12"/>
      <c r="P411" s="12"/>
      <c r="Q411" s="12"/>
      <c r="R411" s="12"/>
      <c r="S411" s="12"/>
      <c r="T411" s="12"/>
      <c r="U411" s="24"/>
      <c r="V411" s="24"/>
      <c r="W411" s="24"/>
      <c r="X411" s="24"/>
      <c r="Y411" s="24"/>
    </row>
    <row r="412" spans="1:25" s="1" customFormat="1" x14ac:dyDescent="0.3">
      <c r="A412" s="12"/>
      <c r="B412" s="13"/>
      <c r="C412" s="13"/>
      <c r="D412" s="14"/>
      <c r="E412" s="12"/>
      <c r="F412" s="15"/>
      <c r="G412" s="12"/>
      <c r="H412" s="12"/>
      <c r="I412" s="12"/>
      <c r="J412" s="12"/>
      <c r="K412" s="12"/>
      <c r="L412" s="12"/>
      <c r="M412" s="12"/>
      <c r="N412" s="12"/>
      <c r="O412" s="12"/>
      <c r="P412" s="12"/>
      <c r="Q412" s="12"/>
      <c r="R412" s="12"/>
      <c r="S412" s="12"/>
      <c r="T412" s="12"/>
      <c r="U412" s="24"/>
      <c r="V412" s="24"/>
      <c r="W412" s="24"/>
      <c r="X412" s="24"/>
      <c r="Y412" s="24"/>
    </row>
    <row r="413" spans="1:25" s="1" customFormat="1" x14ac:dyDescent="0.3">
      <c r="A413" s="12"/>
      <c r="B413" s="13"/>
      <c r="C413" s="13"/>
      <c r="D413" s="14"/>
      <c r="E413" s="12"/>
      <c r="F413" s="15"/>
      <c r="G413" s="12"/>
      <c r="H413" s="12"/>
      <c r="I413" s="12"/>
      <c r="J413" s="12"/>
      <c r="K413" s="12"/>
      <c r="L413" s="12"/>
      <c r="M413" s="12"/>
      <c r="N413" s="12"/>
      <c r="O413" s="12"/>
      <c r="P413" s="12"/>
      <c r="Q413" s="12"/>
      <c r="R413" s="12"/>
      <c r="S413" s="12"/>
      <c r="T413" s="12"/>
      <c r="U413" s="24"/>
      <c r="V413" s="24"/>
      <c r="W413" s="24"/>
      <c r="X413" s="24"/>
      <c r="Y413" s="24"/>
    </row>
    <row r="414" spans="1:25" s="1" customFormat="1" x14ac:dyDescent="0.3">
      <c r="A414" s="12"/>
      <c r="B414" s="13"/>
      <c r="C414" s="13"/>
      <c r="D414" s="14"/>
      <c r="E414" s="12"/>
      <c r="F414" s="15"/>
      <c r="G414" s="12"/>
      <c r="H414" s="12"/>
      <c r="I414" s="12"/>
      <c r="J414" s="12"/>
      <c r="K414" s="12"/>
      <c r="L414" s="12"/>
      <c r="M414" s="12"/>
      <c r="N414" s="12"/>
      <c r="O414" s="12"/>
      <c r="P414" s="12"/>
      <c r="Q414" s="12"/>
      <c r="R414" s="12"/>
      <c r="S414" s="12"/>
      <c r="T414" s="12"/>
      <c r="U414" s="24"/>
      <c r="V414" s="24"/>
      <c r="W414" s="24"/>
      <c r="X414" s="24"/>
      <c r="Y414" s="24"/>
    </row>
    <row r="415" spans="1:25" s="1" customFormat="1" x14ac:dyDescent="0.3">
      <c r="A415" s="12"/>
      <c r="B415" s="13"/>
      <c r="C415" s="13"/>
      <c r="D415" s="14"/>
      <c r="E415" s="12"/>
      <c r="F415" s="15"/>
      <c r="G415" s="12"/>
      <c r="H415" s="12"/>
      <c r="I415" s="12"/>
      <c r="J415" s="12"/>
      <c r="K415" s="12"/>
      <c r="L415" s="12"/>
      <c r="M415" s="12"/>
      <c r="N415" s="12"/>
      <c r="O415" s="12"/>
      <c r="P415" s="12"/>
      <c r="Q415" s="12"/>
      <c r="R415" s="12"/>
      <c r="S415" s="12"/>
      <c r="T415" s="12"/>
      <c r="U415" s="24"/>
      <c r="V415" s="24"/>
      <c r="W415" s="24"/>
      <c r="X415" s="24"/>
      <c r="Y415" s="24"/>
    </row>
    <row r="416" spans="1:25" s="1" customFormat="1" x14ac:dyDescent="0.3">
      <c r="A416" s="12"/>
      <c r="B416" s="13"/>
      <c r="C416" s="13"/>
      <c r="D416" s="14"/>
      <c r="E416" s="12"/>
      <c r="F416" s="15"/>
      <c r="G416" s="12"/>
      <c r="H416" s="12"/>
      <c r="I416" s="12"/>
      <c r="J416" s="12"/>
      <c r="K416" s="12"/>
      <c r="L416" s="12"/>
      <c r="M416" s="12"/>
      <c r="N416" s="12"/>
      <c r="O416" s="12"/>
      <c r="P416" s="12"/>
      <c r="Q416" s="12"/>
      <c r="R416" s="12"/>
      <c r="S416" s="12"/>
      <c r="T416" s="12"/>
      <c r="U416" s="24"/>
      <c r="V416" s="24"/>
      <c r="W416" s="24"/>
      <c r="X416" s="24"/>
      <c r="Y416" s="24"/>
    </row>
    <row r="417" spans="1:25" s="1" customFormat="1" x14ac:dyDescent="0.3">
      <c r="A417" s="12"/>
      <c r="B417" s="13"/>
      <c r="C417" s="13"/>
      <c r="D417" s="14"/>
      <c r="E417" s="12"/>
      <c r="F417" s="15"/>
      <c r="G417" s="12"/>
      <c r="H417" s="12"/>
      <c r="I417" s="12"/>
      <c r="J417" s="12"/>
      <c r="K417" s="12"/>
      <c r="L417" s="12"/>
      <c r="M417" s="12"/>
      <c r="N417" s="12"/>
      <c r="O417" s="12"/>
      <c r="P417" s="12"/>
      <c r="Q417" s="12"/>
      <c r="R417" s="12"/>
      <c r="S417" s="12"/>
      <c r="T417" s="12"/>
      <c r="U417" s="24"/>
      <c r="V417" s="24"/>
      <c r="W417" s="24"/>
      <c r="X417" s="24"/>
      <c r="Y417" s="24"/>
    </row>
    <row r="418" spans="1:25" s="1" customFormat="1" x14ac:dyDescent="0.3">
      <c r="A418" s="12"/>
      <c r="B418" s="13"/>
      <c r="C418" s="13"/>
      <c r="D418" s="14"/>
      <c r="E418" s="12"/>
      <c r="F418" s="15"/>
      <c r="G418" s="12"/>
      <c r="H418" s="12"/>
      <c r="I418" s="12"/>
      <c r="J418" s="12"/>
      <c r="K418" s="12"/>
      <c r="L418" s="12"/>
      <c r="M418" s="12"/>
      <c r="N418" s="12"/>
      <c r="O418" s="12"/>
      <c r="P418" s="12"/>
      <c r="Q418" s="12"/>
      <c r="R418" s="12"/>
      <c r="S418" s="12"/>
      <c r="T418" s="12"/>
      <c r="U418" s="24"/>
      <c r="V418" s="24"/>
      <c r="W418" s="24"/>
      <c r="X418" s="24"/>
      <c r="Y418" s="24"/>
    </row>
    <row r="419" spans="1:25" s="1" customFormat="1" x14ac:dyDescent="0.3">
      <c r="A419" s="12"/>
      <c r="B419" s="13"/>
      <c r="C419" s="13"/>
      <c r="D419" s="14"/>
      <c r="E419" s="12"/>
      <c r="F419" s="15"/>
      <c r="G419" s="12"/>
      <c r="H419" s="12"/>
      <c r="I419" s="12"/>
      <c r="J419" s="12"/>
      <c r="K419" s="12"/>
      <c r="L419" s="12"/>
      <c r="M419" s="12"/>
      <c r="N419" s="12"/>
      <c r="O419" s="12"/>
      <c r="P419" s="12"/>
      <c r="Q419" s="12"/>
      <c r="R419" s="12"/>
      <c r="S419" s="12"/>
      <c r="T419" s="12"/>
      <c r="U419" s="24"/>
      <c r="V419" s="24"/>
      <c r="W419" s="24"/>
      <c r="X419" s="24"/>
      <c r="Y419" s="24"/>
    </row>
    <row r="420" spans="1:25" s="1" customFormat="1" x14ac:dyDescent="0.3">
      <c r="A420" s="12"/>
      <c r="B420" s="13"/>
      <c r="C420" s="13"/>
      <c r="D420" s="14"/>
      <c r="E420" s="12"/>
      <c r="F420" s="15"/>
      <c r="G420" s="12"/>
      <c r="H420" s="12"/>
      <c r="I420" s="12"/>
      <c r="J420" s="12"/>
      <c r="K420" s="12"/>
      <c r="L420" s="12"/>
      <c r="M420" s="12"/>
      <c r="N420" s="12"/>
      <c r="O420" s="12"/>
      <c r="P420" s="12"/>
      <c r="Q420" s="12"/>
      <c r="R420" s="12"/>
      <c r="S420" s="12"/>
      <c r="T420" s="12"/>
      <c r="U420" s="24"/>
      <c r="V420" s="24"/>
      <c r="W420" s="24"/>
      <c r="X420" s="24"/>
      <c r="Y420" s="24"/>
    </row>
    <row r="421" spans="1:25" s="1" customFormat="1" x14ac:dyDescent="0.3">
      <c r="A421" s="12"/>
      <c r="B421" s="13"/>
      <c r="C421" s="13"/>
      <c r="D421" s="14"/>
      <c r="E421" s="12"/>
      <c r="F421" s="15"/>
      <c r="G421" s="12"/>
      <c r="H421" s="12"/>
      <c r="I421" s="12"/>
      <c r="J421" s="12"/>
      <c r="K421" s="12"/>
      <c r="L421" s="12"/>
      <c r="M421" s="12"/>
      <c r="N421" s="12"/>
      <c r="O421" s="12"/>
      <c r="P421" s="12"/>
      <c r="Q421" s="12"/>
      <c r="R421" s="12"/>
      <c r="S421" s="12"/>
      <c r="T421" s="12"/>
      <c r="U421" s="24"/>
      <c r="V421" s="24"/>
      <c r="W421" s="24"/>
      <c r="X421" s="24"/>
      <c r="Y421" s="24"/>
    </row>
  </sheetData>
  <autoFilter ref="D1:D421"/>
  <mergeCells count="543">
    <mergeCell ref="A397:A398"/>
    <mergeCell ref="B397:B398"/>
    <mergeCell ref="A399:A400"/>
    <mergeCell ref="B399:B400"/>
    <mergeCell ref="V375:V376"/>
    <mergeCell ref="W375:W376"/>
    <mergeCell ref="X375:X376"/>
    <mergeCell ref="Y375:Y376"/>
    <mergeCell ref="A379:A380"/>
    <mergeCell ref="B379:B380"/>
    <mergeCell ref="C379:C380"/>
    <mergeCell ref="D379:D380"/>
    <mergeCell ref="E379:E380"/>
    <mergeCell ref="A375:A376"/>
    <mergeCell ref="B375:B376"/>
    <mergeCell ref="C375:C376"/>
    <mergeCell ref="D375:D376"/>
    <mergeCell ref="E375:E376"/>
    <mergeCell ref="U375:U376"/>
    <mergeCell ref="B364:T364"/>
    <mergeCell ref="A367:A368"/>
    <mergeCell ref="B367:B368"/>
    <mergeCell ref="C367:C368"/>
    <mergeCell ref="D367:D368"/>
    <mergeCell ref="E367:E368"/>
    <mergeCell ref="B348:T348"/>
    <mergeCell ref="B356:T356"/>
    <mergeCell ref="B359:T359"/>
    <mergeCell ref="A362:A363"/>
    <mergeCell ref="B362:B363"/>
    <mergeCell ref="E362:E363"/>
    <mergeCell ref="W339:W342"/>
    <mergeCell ref="X339:X342"/>
    <mergeCell ref="Y339:Y342"/>
    <mergeCell ref="C345:C346"/>
    <mergeCell ref="U345:U346"/>
    <mergeCell ref="V345:V346"/>
    <mergeCell ref="W345:W346"/>
    <mergeCell ref="X345:X346"/>
    <mergeCell ref="Y345:Y346"/>
    <mergeCell ref="A339:A344"/>
    <mergeCell ref="B339:B344"/>
    <mergeCell ref="C339:C342"/>
    <mergeCell ref="D339:D342"/>
    <mergeCell ref="E339:E342"/>
    <mergeCell ref="U339:U342"/>
    <mergeCell ref="F335:F336"/>
    <mergeCell ref="U335:U336"/>
    <mergeCell ref="V335:V336"/>
    <mergeCell ref="V339:V342"/>
    <mergeCell ref="W335:W336"/>
    <mergeCell ref="X335:X336"/>
    <mergeCell ref="Y335:Y336"/>
    <mergeCell ref="U330:U334"/>
    <mergeCell ref="V330:V334"/>
    <mergeCell ref="W330:W334"/>
    <mergeCell ref="X330:X334"/>
    <mergeCell ref="Y330:Y334"/>
    <mergeCell ref="A335:A336"/>
    <mergeCell ref="B335:B336"/>
    <mergeCell ref="C335:C336"/>
    <mergeCell ref="D335:D336"/>
    <mergeCell ref="E335:E336"/>
    <mergeCell ref="A330:A334"/>
    <mergeCell ref="B330:B334"/>
    <mergeCell ref="C330:C334"/>
    <mergeCell ref="D330:D334"/>
    <mergeCell ref="E330:E334"/>
    <mergeCell ref="F330:F331"/>
    <mergeCell ref="F328:F329"/>
    <mergeCell ref="U328:U329"/>
    <mergeCell ref="V328:V329"/>
    <mergeCell ref="W328:W329"/>
    <mergeCell ref="X328:X329"/>
    <mergeCell ref="Y328:Y329"/>
    <mergeCell ref="U322:U327"/>
    <mergeCell ref="V322:V327"/>
    <mergeCell ref="W322:W327"/>
    <mergeCell ref="X322:X327"/>
    <mergeCell ref="Y322:Y327"/>
    <mergeCell ref="F322:F323"/>
    <mergeCell ref="A328:A329"/>
    <mergeCell ref="B328:B329"/>
    <mergeCell ref="C328:C329"/>
    <mergeCell ref="D328:D329"/>
    <mergeCell ref="E328:E329"/>
    <mergeCell ref="A322:A327"/>
    <mergeCell ref="B322:B327"/>
    <mergeCell ref="C322:C327"/>
    <mergeCell ref="D322:D327"/>
    <mergeCell ref="E322:E327"/>
    <mergeCell ref="B308:T308"/>
    <mergeCell ref="B309:T309"/>
    <mergeCell ref="B315:T315"/>
    <mergeCell ref="B317:T317"/>
    <mergeCell ref="B320:T320"/>
    <mergeCell ref="B321:T321"/>
    <mergeCell ref="R298:R299"/>
    <mergeCell ref="S298:S299"/>
    <mergeCell ref="T298:T299"/>
    <mergeCell ref="B302:T302"/>
    <mergeCell ref="A304:A307"/>
    <mergeCell ref="B304:E307"/>
    <mergeCell ref="L298:L299"/>
    <mergeCell ref="M298:M299"/>
    <mergeCell ref="N298:N299"/>
    <mergeCell ref="O298:O299"/>
    <mergeCell ref="P298:P299"/>
    <mergeCell ref="Q298:Q299"/>
    <mergeCell ref="F298:F299"/>
    <mergeCell ref="G298:G299"/>
    <mergeCell ref="H298:H299"/>
    <mergeCell ref="I298:I299"/>
    <mergeCell ref="J298:J299"/>
    <mergeCell ref="K298:K299"/>
    <mergeCell ref="V292:V293"/>
    <mergeCell ref="W292:W293"/>
    <mergeCell ref="X292:X293"/>
    <mergeCell ref="Y292:Y293"/>
    <mergeCell ref="B296:E296"/>
    <mergeCell ref="B297:T297"/>
    <mergeCell ref="A292:A293"/>
    <mergeCell ref="B292:B293"/>
    <mergeCell ref="C292:C293"/>
    <mergeCell ref="D292:D293"/>
    <mergeCell ref="E292:E293"/>
    <mergeCell ref="U292:U293"/>
    <mergeCell ref="X281:X282"/>
    <mergeCell ref="Y281:Y282"/>
    <mergeCell ref="A285:A287"/>
    <mergeCell ref="B285:B287"/>
    <mergeCell ref="C285:C287"/>
    <mergeCell ref="E285:E287"/>
    <mergeCell ref="X278:X279"/>
    <mergeCell ref="Y278:Y279"/>
    <mergeCell ref="A281:A282"/>
    <mergeCell ref="B281:B282"/>
    <mergeCell ref="C281:C282"/>
    <mergeCell ref="D281:D282"/>
    <mergeCell ref="E281:E282"/>
    <mergeCell ref="U281:U282"/>
    <mergeCell ref="V281:V282"/>
    <mergeCell ref="W281:W282"/>
    <mergeCell ref="R278:R279"/>
    <mergeCell ref="S278:S279"/>
    <mergeCell ref="T278:T279"/>
    <mergeCell ref="U278:U279"/>
    <mergeCell ref="V278:V279"/>
    <mergeCell ref="W278:W279"/>
    <mergeCell ref="L278:L279"/>
    <mergeCell ref="M278:M279"/>
    <mergeCell ref="A273:A274"/>
    <mergeCell ref="B273:B274"/>
    <mergeCell ref="A275:A276"/>
    <mergeCell ref="B275:B276"/>
    <mergeCell ref="B277:T277"/>
    <mergeCell ref="A278:A279"/>
    <mergeCell ref="B278:B279"/>
    <mergeCell ref="C278:C279"/>
    <mergeCell ref="D278:D279"/>
    <mergeCell ref="E278:E279"/>
    <mergeCell ref="N278:N279"/>
    <mergeCell ref="O278:O279"/>
    <mergeCell ref="P278:P279"/>
    <mergeCell ref="Q278:Q279"/>
    <mergeCell ref="F278:F279"/>
    <mergeCell ref="G278:G279"/>
    <mergeCell ref="H278:H279"/>
    <mergeCell ref="I278:I279"/>
    <mergeCell ref="J278:J279"/>
    <mergeCell ref="K278:K279"/>
    <mergeCell ref="B264:T264"/>
    <mergeCell ref="A265:A268"/>
    <mergeCell ref="B265:B268"/>
    <mergeCell ref="A270:A272"/>
    <mergeCell ref="B270:B272"/>
    <mergeCell ref="M260:M263"/>
    <mergeCell ref="N260:N263"/>
    <mergeCell ref="O260:O263"/>
    <mergeCell ref="P260:P263"/>
    <mergeCell ref="Q260:Q263"/>
    <mergeCell ref="R260:R263"/>
    <mergeCell ref="R258:R259"/>
    <mergeCell ref="S258:S259"/>
    <mergeCell ref="T258:T259"/>
    <mergeCell ref="F260:F263"/>
    <mergeCell ref="G260:G263"/>
    <mergeCell ref="H260:H263"/>
    <mergeCell ref="I260:I263"/>
    <mergeCell ref="J260:J263"/>
    <mergeCell ref="K260:K263"/>
    <mergeCell ref="L260:L263"/>
    <mergeCell ref="L258:L259"/>
    <mergeCell ref="M258:M259"/>
    <mergeCell ref="N258:N259"/>
    <mergeCell ref="O258:O259"/>
    <mergeCell ref="P258:P259"/>
    <mergeCell ref="Q258:Q259"/>
    <mergeCell ref="F258:F259"/>
    <mergeCell ref="G258:G259"/>
    <mergeCell ref="H258:H259"/>
    <mergeCell ref="I258:I259"/>
    <mergeCell ref="J258:J259"/>
    <mergeCell ref="K258:K259"/>
    <mergeCell ref="S260:S263"/>
    <mergeCell ref="T260:T263"/>
    <mergeCell ref="V245:V246"/>
    <mergeCell ref="W245:W246"/>
    <mergeCell ref="X245:X246"/>
    <mergeCell ref="Y245:Y246"/>
    <mergeCell ref="B247:T247"/>
    <mergeCell ref="A249:A253"/>
    <mergeCell ref="B249:B253"/>
    <mergeCell ref="D249:D253"/>
    <mergeCell ref="A245:A246"/>
    <mergeCell ref="B245:B246"/>
    <mergeCell ref="C245:C246"/>
    <mergeCell ref="D245:D246"/>
    <mergeCell ref="E245:E246"/>
    <mergeCell ref="U245:U246"/>
    <mergeCell ref="U236:U237"/>
    <mergeCell ref="V236:V237"/>
    <mergeCell ref="W236:W237"/>
    <mergeCell ref="X236:X237"/>
    <mergeCell ref="Y236:Y237"/>
    <mergeCell ref="A240:A242"/>
    <mergeCell ref="B240:B242"/>
    <mergeCell ref="U232:U233"/>
    <mergeCell ref="V232:V233"/>
    <mergeCell ref="W232:W233"/>
    <mergeCell ref="X232:X233"/>
    <mergeCell ref="Y232:Y233"/>
    <mergeCell ref="A236:A237"/>
    <mergeCell ref="B236:B237"/>
    <mergeCell ref="C236:C237"/>
    <mergeCell ref="D236:D237"/>
    <mergeCell ref="E236:E237"/>
    <mergeCell ref="A232:A233"/>
    <mergeCell ref="B232:B233"/>
    <mergeCell ref="C232:C233"/>
    <mergeCell ref="D232:D233"/>
    <mergeCell ref="E232:E233"/>
    <mergeCell ref="F209:F222"/>
    <mergeCell ref="G209:G222"/>
    <mergeCell ref="H209:H222"/>
    <mergeCell ref="I209:I222"/>
    <mergeCell ref="J209:J222"/>
    <mergeCell ref="K209:K222"/>
    <mergeCell ref="L228:L231"/>
    <mergeCell ref="M228:M231"/>
    <mergeCell ref="N228:N231"/>
    <mergeCell ref="B226:T226"/>
    <mergeCell ref="B227:T227"/>
    <mergeCell ref="F228:F231"/>
    <mergeCell ref="G228:G231"/>
    <mergeCell ref="H228:H231"/>
    <mergeCell ref="I228:I231"/>
    <mergeCell ref="J228:J231"/>
    <mergeCell ref="Q228:Q231"/>
    <mergeCell ref="R228:R231"/>
    <mergeCell ref="S228:S231"/>
    <mergeCell ref="T228:T231"/>
    <mergeCell ref="O228:O231"/>
    <mergeCell ref="P228:P231"/>
    <mergeCell ref="K228:K231"/>
    <mergeCell ref="Y204:Y205"/>
    <mergeCell ref="A206:A207"/>
    <mergeCell ref="B206:B207"/>
    <mergeCell ref="C206:C207"/>
    <mergeCell ref="D206:D207"/>
    <mergeCell ref="E206:E207"/>
    <mergeCell ref="R209:R222"/>
    <mergeCell ref="S209:S222"/>
    <mergeCell ref="T209:T222"/>
    <mergeCell ref="A204:A205"/>
    <mergeCell ref="B204:B205"/>
    <mergeCell ref="C204:C205"/>
    <mergeCell ref="D204:D205"/>
    <mergeCell ref="E204:E205"/>
    <mergeCell ref="U204:U205"/>
    <mergeCell ref="V204:V205"/>
    <mergeCell ref="W204:W205"/>
    <mergeCell ref="X204:X205"/>
    <mergeCell ref="L209:L222"/>
    <mergeCell ref="M209:M222"/>
    <mergeCell ref="N209:N222"/>
    <mergeCell ref="O209:O222"/>
    <mergeCell ref="P209:P222"/>
    <mergeCell ref="Q209:Q222"/>
    <mergeCell ref="G200:G201"/>
    <mergeCell ref="U200:U203"/>
    <mergeCell ref="V200:V203"/>
    <mergeCell ref="W200:W203"/>
    <mergeCell ref="X200:X203"/>
    <mergeCell ref="Y200:Y203"/>
    <mergeCell ref="A192:A193"/>
    <mergeCell ref="B192:B193"/>
    <mergeCell ref="B194:T194"/>
    <mergeCell ref="B195:T195"/>
    <mergeCell ref="B199:T199"/>
    <mergeCell ref="A200:A203"/>
    <mergeCell ref="B200:B203"/>
    <mergeCell ref="C200:C201"/>
    <mergeCell ref="D200:D201"/>
    <mergeCell ref="E200:E201"/>
    <mergeCell ref="C202:C203"/>
    <mergeCell ref="D202:D203"/>
    <mergeCell ref="E202:E203"/>
    <mergeCell ref="G202:G203"/>
    <mergeCell ref="A183:A184"/>
    <mergeCell ref="B183:B184"/>
    <mergeCell ref="A186:A187"/>
    <mergeCell ref="B186:B187"/>
    <mergeCell ref="A189:A191"/>
    <mergeCell ref="B189:B191"/>
    <mergeCell ref="U177:U178"/>
    <mergeCell ref="V177:V178"/>
    <mergeCell ref="W177:W178"/>
    <mergeCell ref="X177:X178"/>
    <mergeCell ref="Y177:Y178"/>
    <mergeCell ref="A181:A182"/>
    <mergeCell ref="B181:B182"/>
    <mergeCell ref="B175:T175"/>
    <mergeCell ref="B176:E176"/>
    <mergeCell ref="A177:A178"/>
    <mergeCell ref="B177:B178"/>
    <mergeCell ref="C177:C178"/>
    <mergeCell ref="D177:D178"/>
    <mergeCell ref="U162:U164"/>
    <mergeCell ref="V162:V164"/>
    <mergeCell ref="W162:W164"/>
    <mergeCell ref="X162:X164"/>
    <mergeCell ref="Y162:Y164"/>
    <mergeCell ref="B174:T174"/>
    <mergeCell ref="B161:T161"/>
    <mergeCell ref="A162:A164"/>
    <mergeCell ref="B162:B164"/>
    <mergeCell ref="C162:C164"/>
    <mergeCell ref="D162:D164"/>
    <mergeCell ref="E162:E164"/>
    <mergeCell ref="V146:V147"/>
    <mergeCell ref="W146:W147"/>
    <mergeCell ref="X146:X147"/>
    <mergeCell ref="Y146:Y147"/>
    <mergeCell ref="B148:T148"/>
    <mergeCell ref="B153:T153"/>
    <mergeCell ref="B145:T145"/>
    <mergeCell ref="A146:A147"/>
    <mergeCell ref="B146:B147"/>
    <mergeCell ref="C146:C147"/>
    <mergeCell ref="D146:D147"/>
    <mergeCell ref="U146:U147"/>
    <mergeCell ref="V136:V137"/>
    <mergeCell ref="W136:W137"/>
    <mergeCell ref="X136:X137"/>
    <mergeCell ref="Y136:Y137"/>
    <mergeCell ref="B141:T141"/>
    <mergeCell ref="B142:T142"/>
    <mergeCell ref="A136:A137"/>
    <mergeCell ref="B136:B137"/>
    <mergeCell ref="C136:C137"/>
    <mergeCell ref="D136:D137"/>
    <mergeCell ref="E136:E137"/>
    <mergeCell ref="U136:U137"/>
    <mergeCell ref="U132:U133"/>
    <mergeCell ref="V132:V133"/>
    <mergeCell ref="W132:W133"/>
    <mergeCell ref="X132:X133"/>
    <mergeCell ref="Y132:Y133"/>
    <mergeCell ref="B134:T134"/>
    <mergeCell ref="B128:T128"/>
    <mergeCell ref="A129:A130"/>
    <mergeCell ref="B129:B130"/>
    <mergeCell ref="D129:D130"/>
    <mergeCell ref="B131:T131"/>
    <mergeCell ref="A132:A133"/>
    <mergeCell ref="B132:B133"/>
    <mergeCell ref="C132:C133"/>
    <mergeCell ref="D132:D133"/>
    <mergeCell ref="U122:U123"/>
    <mergeCell ref="V122:V123"/>
    <mergeCell ref="W122:W123"/>
    <mergeCell ref="X122:X123"/>
    <mergeCell ref="Y122:Y123"/>
    <mergeCell ref="B127:T127"/>
    <mergeCell ref="B121:T121"/>
    <mergeCell ref="A122:A123"/>
    <mergeCell ref="B122:B123"/>
    <mergeCell ref="C122:C123"/>
    <mergeCell ref="D122:D123"/>
    <mergeCell ref="E122:E123"/>
    <mergeCell ref="R106:R109"/>
    <mergeCell ref="S106:S109"/>
    <mergeCell ref="T106:T109"/>
    <mergeCell ref="B112:T112"/>
    <mergeCell ref="B113:T113"/>
    <mergeCell ref="B117:T117"/>
    <mergeCell ref="L106:L109"/>
    <mergeCell ref="M106:M109"/>
    <mergeCell ref="N106:N109"/>
    <mergeCell ref="O106:O109"/>
    <mergeCell ref="P106:P109"/>
    <mergeCell ref="Q106:Q109"/>
    <mergeCell ref="F106:F109"/>
    <mergeCell ref="G106:G109"/>
    <mergeCell ref="H106:H109"/>
    <mergeCell ref="I106:I109"/>
    <mergeCell ref="J106:J109"/>
    <mergeCell ref="K106:K109"/>
    <mergeCell ref="U102:U103"/>
    <mergeCell ref="V102:V103"/>
    <mergeCell ref="W102:W103"/>
    <mergeCell ref="X102:X103"/>
    <mergeCell ref="Y102:Y103"/>
    <mergeCell ref="B105:T105"/>
    <mergeCell ref="S98:S99"/>
    <mergeCell ref="T98:T99"/>
    <mergeCell ref="A101:A104"/>
    <mergeCell ref="B101:B104"/>
    <mergeCell ref="D101:D104"/>
    <mergeCell ref="E101:E104"/>
    <mergeCell ref="C102:C103"/>
    <mergeCell ref="M98:M99"/>
    <mergeCell ref="N98:N99"/>
    <mergeCell ref="O98:O99"/>
    <mergeCell ref="P98:P99"/>
    <mergeCell ref="Q98:Q99"/>
    <mergeCell ref="R98:R99"/>
    <mergeCell ref="U96:U98"/>
    <mergeCell ref="V96:V98"/>
    <mergeCell ref="W96:W98"/>
    <mergeCell ref="X96:X98"/>
    <mergeCell ref="Y96:Y98"/>
    <mergeCell ref="F98:F99"/>
    <mergeCell ref="G98:G99"/>
    <mergeCell ref="H98:H99"/>
    <mergeCell ref="I98:I99"/>
    <mergeCell ref="J98:J99"/>
    <mergeCell ref="B93:T93"/>
    <mergeCell ref="B94:T94"/>
    <mergeCell ref="B95:T95"/>
    <mergeCell ref="A96:A99"/>
    <mergeCell ref="B96:B99"/>
    <mergeCell ref="C96:C98"/>
    <mergeCell ref="D96:D97"/>
    <mergeCell ref="E96:E99"/>
    <mergeCell ref="K98:K99"/>
    <mergeCell ref="L98:L99"/>
    <mergeCell ref="Y85:Y86"/>
    <mergeCell ref="A87:A88"/>
    <mergeCell ref="B87:B88"/>
    <mergeCell ref="B89:T89"/>
    <mergeCell ref="B90:T90"/>
    <mergeCell ref="B92:T92"/>
    <mergeCell ref="A85:A86"/>
    <mergeCell ref="B85:B86"/>
    <mergeCell ref="U85:U86"/>
    <mergeCell ref="V85:V86"/>
    <mergeCell ref="W85:W86"/>
    <mergeCell ref="X85:X86"/>
    <mergeCell ref="V72:V73"/>
    <mergeCell ref="W72:W73"/>
    <mergeCell ref="X72:X73"/>
    <mergeCell ref="Y72:Y73"/>
    <mergeCell ref="B76:E76"/>
    <mergeCell ref="B84:T84"/>
    <mergeCell ref="A72:A73"/>
    <mergeCell ref="B72:B73"/>
    <mergeCell ref="C72:C73"/>
    <mergeCell ref="D72:D73"/>
    <mergeCell ref="E72:E73"/>
    <mergeCell ref="U72:U73"/>
    <mergeCell ref="Y39:Y40"/>
    <mergeCell ref="A41:A51"/>
    <mergeCell ref="B41:B51"/>
    <mergeCell ref="D41:D51"/>
    <mergeCell ref="E41:E51"/>
    <mergeCell ref="B60:T60"/>
    <mergeCell ref="S39:S40"/>
    <mergeCell ref="T39:T40"/>
    <mergeCell ref="U39:U40"/>
    <mergeCell ref="V39:V40"/>
    <mergeCell ref="W39:W40"/>
    <mergeCell ref="X39:X40"/>
    <mergeCell ref="M39:M40"/>
    <mergeCell ref="N39:N40"/>
    <mergeCell ref="O39:O40"/>
    <mergeCell ref="P39:P40"/>
    <mergeCell ref="Q39:Q40"/>
    <mergeCell ref="L39:L40"/>
    <mergeCell ref="V37:V38"/>
    <mergeCell ref="W37:W38"/>
    <mergeCell ref="B65:T65"/>
    <mergeCell ref="B66:T66"/>
    <mergeCell ref="A67:A68"/>
    <mergeCell ref="B67:B68"/>
    <mergeCell ref="C67:C68"/>
    <mergeCell ref="D67:D68"/>
    <mergeCell ref="E67:E68"/>
    <mergeCell ref="X37:X38"/>
    <mergeCell ref="Y37:Y38"/>
    <mergeCell ref="A39:A40"/>
    <mergeCell ref="B39:B40"/>
    <mergeCell ref="C39:C40"/>
    <mergeCell ref="D39:D40"/>
    <mergeCell ref="E39:E40"/>
    <mergeCell ref="F39:F40"/>
    <mergeCell ref="V27:V32"/>
    <mergeCell ref="W27:W32"/>
    <mergeCell ref="X27:X32"/>
    <mergeCell ref="Y27:Y32"/>
    <mergeCell ref="A37:A38"/>
    <mergeCell ref="B37:B38"/>
    <mergeCell ref="C37:C38"/>
    <mergeCell ref="D37:D38"/>
    <mergeCell ref="E37:E38"/>
    <mergeCell ref="U37:U38"/>
    <mergeCell ref="R39:R40"/>
    <mergeCell ref="G39:G40"/>
    <mergeCell ref="H39:H40"/>
    <mergeCell ref="I39:I40"/>
    <mergeCell ref="J39:J40"/>
    <mergeCell ref="K39:K40"/>
    <mergeCell ref="A8:A12"/>
    <mergeCell ref="B8:E12"/>
    <mergeCell ref="B13:T13"/>
    <mergeCell ref="A14:A15"/>
    <mergeCell ref="B14:E15"/>
    <mergeCell ref="U27:U32"/>
    <mergeCell ref="U2:Y6"/>
    <mergeCell ref="F5:F7"/>
    <mergeCell ref="G5:G7"/>
    <mergeCell ref="H5:H7"/>
    <mergeCell ref="I5:K6"/>
    <mergeCell ref="L5:N6"/>
    <mergeCell ref="O5:Q6"/>
    <mergeCell ref="R5:T6"/>
    <mergeCell ref="A2:A7"/>
    <mergeCell ref="B2:B7"/>
    <mergeCell ref="C2:C7"/>
    <mergeCell ref="D2:D7"/>
    <mergeCell ref="E2:E7"/>
    <mergeCell ref="F2:T4"/>
  </mergeCells>
  <pageMargins left="0.15748031496062992" right="0.15748031496062992" top="0.59055118110236227" bottom="0.39370078740157483" header="0" footer="0"/>
  <pageSetup paperSize="8" scale="30" fitToHeight="0" orientation="landscape" r:id="rId1"/>
  <rowBreaks count="10" manualBreakCount="10">
    <brk id="40" max="24" man="1"/>
    <brk id="79" max="24" man="1"/>
    <brk id="104" max="24" man="1"/>
    <brk id="169" max="24" man="1"/>
    <brk id="239" max="24" man="1"/>
    <brk id="274" max="24" man="1"/>
    <brk id="294" max="24" man="1"/>
    <brk id="318" max="24" man="1"/>
    <brk id="336" max="24" man="1"/>
    <brk id="353"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Мониторинг</vt:lpstr>
      <vt:lpstr>Недостача</vt:lpstr>
      <vt:lpstr>04.06.2019 (2)</vt:lpstr>
      <vt:lpstr>04.06.2019 (3)</vt:lpstr>
      <vt:lpstr>'04.06.2019 (2)'!Заголовки_для_печати</vt:lpstr>
      <vt:lpstr>'04.06.2019 (3)'!Заголовки_для_печати</vt:lpstr>
      <vt:lpstr>Мониторинг!Заголовки_для_печати</vt:lpstr>
      <vt:lpstr>'04.06.2019 (2)'!Область_печати</vt:lpstr>
      <vt:lpstr>'04.06.2019 (3)'!Область_печати</vt:lpstr>
      <vt:lpstr>Мониторинг!Область_печати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Мальцева Анастасия Владимировна</cp:lastModifiedBy>
  <cp:lastPrinted>2022-04-29T09:05:57Z</cp:lastPrinted>
  <dcterms:created xsi:type="dcterms:W3CDTF">2006-09-16T00:00:00Z</dcterms:created>
  <dcterms:modified xsi:type="dcterms:W3CDTF">2023-01-11T09:11:35Z</dcterms:modified>
</cp:coreProperties>
</file>