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6660" windowHeight="10515" activeTab="0"/>
  </bookViews>
  <sheets>
    <sheet name="2016" sheetId="1" r:id="rId1"/>
  </sheets>
  <definedNames>
    <definedName name="_xlnm._FilterDatabase" localSheetId="0" hidden="1">'2016'!$A$6:$CT$65</definedName>
    <definedName name="_xlnm.Print_Titles" localSheetId="0">'2016'!$B:$C,'2016'!$2:$5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O33" authorId="0">
      <text>
        <r>
          <rPr>
            <b/>
            <sz val="8"/>
            <rFont val="Tahoma"/>
            <family val="2"/>
          </rPr>
          <t>перевод в неж.ф. 117,177,179</t>
        </r>
      </text>
    </comment>
  </commentList>
</comments>
</file>

<file path=xl/sharedStrings.xml><?xml version="1.0" encoding="utf-8"?>
<sst xmlns="http://schemas.openxmlformats.org/spreadsheetml/2006/main" count="514" uniqueCount="257">
  <si>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</si>
  <si>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</si>
  <si>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</si>
  <si>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</si>
  <si>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</si>
  <si>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</si>
  <si>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</si>
  <si>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</si>
  <si>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</si>
  <si>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</si>
  <si>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</si>
  <si>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</si>
  <si>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</si>
  <si>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</si>
  <si>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</si>
  <si>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>Жилищный фонд всего, в т.ч.:</t>
  </si>
  <si>
    <t>ИТОГО:</t>
  </si>
  <si>
    <t xml:space="preserve"> - Сталинки</t>
  </si>
  <si>
    <t xml:space="preserve"> -ДГТ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</si>
  <si>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</si>
  <si>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</si>
  <si>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</si>
  <si>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</si>
  <si>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</si>
  <si>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</si>
  <si>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</si>
  <si>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</si>
  <si>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>111-84</t>
  </si>
  <si>
    <t>111-112</t>
  </si>
  <si>
    <t>сталинка</t>
  </si>
  <si>
    <t>50 лет Октября 2</t>
  </si>
  <si>
    <t>Год ввода</t>
  </si>
  <si>
    <t>Вид здания</t>
  </si>
  <si>
    <t>Серия дома</t>
  </si>
  <si>
    <t>кол-во строений, ед.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</si>
  <si>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</si>
  <si>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</si>
  <si>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</si>
  <si>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</si>
  <si>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</si>
  <si>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</si>
  <si>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</si>
  <si>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</si>
  <si>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</si>
  <si>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</si>
  <si>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</si>
  <si>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</si>
  <si>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</si>
  <si>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</si>
  <si>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</si>
  <si>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</si>
  <si>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</si>
  <si>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</si>
  <si>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t>Вводные сети, п.м.</t>
  </si>
  <si>
    <t>ТВС в подъезде, п.м.</t>
  </si>
  <si>
    <t>Межпанельные стыки, п.м.</t>
  </si>
  <si>
    <t>Сваи, шт.</t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</si>
  <si>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</si>
  <si>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</si>
  <si>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</si>
  <si>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</si>
  <si>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</si>
  <si>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</si>
  <si>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</si>
  <si>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</si>
  <si>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квартиросъемщиков, чел.</t>
  </si>
  <si>
    <t>ПЛОЩАДЬ ВСЕГО ПО ДОМУ (ЖИЛАЯ+НЕЖИЛАЯ), КВ.М</t>
  </si>
  <si>
    <t>ж/д</t>
  </si>
  <si>
    <t>Подразделение</t>
  </si>
  <si>
    <t>Советская 8</t>
  </si>
  <si>
    <t>Лауреатов 75-дгт</t>
  </si>
  <si>
    <t>Лауреатов 77-дгт</t>
  </si>
  <si>
    <t>Лауреатов 81-дгт</t>
  </si>
  <si>
    <t>Молодежный 21-дгт</t>
  </si>
  <si>
    <t>Бегичева 39а-дгт</t>
  </si>
  <si>
    <t>Лауреатов 23-дгт</t>
  </si>
  <si>
    <t>Московская 31-дгт</t>
  </si>
  <si>
    <t>Комсомольская 1а</t>
  </si>
  <si>
    <t>Комсомольская 4</t>
  </si>
  <si>
    <t>Комсомольская 7</t>
  </si>
  <si>
    <t>Комсомольская 7a</t>
  </si>
  <si>
    <t>Комсомольская 8</t>
  </si>
  <si>
    <t>Комсомольская 9</t>
  </si>
  <si>
    <t>Комсомольская 10</t>
  </si>
  <si>
    <t>Комсомольская 11</t>
  </si>
  <si>
    <t>Комсомольская 12</t>
  </si>
  <si>
    <t>Комсомольская 14</t>
  </si>
  <si>
    <t>Комсомольская 15</t>
  </si>
  <si>
    <t>Комсомольская 18</t>
  </si>
  <si>
    <t>Комсомольская 19</t>
  </si>
  <si>
    <t>Комсомольская 20</t>
  </si>
  <si>
    <t>Комсомольская 22</t>
  </si>
  <si>
    <t>Комсомольская 23</t>
  </si>
  <si>
    <t>Комсомольская 27</t>
  </si>
  <si>
    <t>Набережная 37</t>
  </si>
  <si>
    <t>Набережная 39</t>
  </si>
  <si>
    <t>Набережная 41</t>
  </si>
  <si>
    <t>Ленинский 3</t>
  </si>
  <si>
    <t>Ленинский 5</t>
  </si>
  <si>
    <t>Ленинский 7</t>
  </si>
  <si>
    <t>Ленинский 11</t>
  </si>
  <si>
    <t>Ленинский 13</t>
  </si>
  <si>
    <t>Ленинский 15</t>
  </si>
  <si>
    <t>Ленинский 17</t>
  </si>
  <si>
    <t>Советская 4</t>
  </si>
  <si>
    <t>Советская 6</t>
  </si>
  <si>
    <t>ж.тр.</t>
  </si>
  <si>
    <t>ж.тр./1</t>
  </si>
  <si>
    <t>ж.тр./дгт</t>
  </si>
  <si>
    <t>ж.тр./общ.</t>
  </si>
  <si>
    <t>Лауреатов 31-общ</t>
  </si>
  <si>
    <t>Металлургов 19-общ</t>
  </si>
  <si>
    <t>Котульского 6-общ</t>
  </si>
  <si>
    <t>Орджоникидзе 19-общ</t>
  </si>
  <si>
    <t>Молодежный 11-общ</t>
  </si>
  <si>
    <t>Михайличенко 6-общ</t>
  </si>
  <si>
    <t>Молодежный 1-общ</t>
  </si>
  <si>
    <t>Молодежный 5-общ</t>
  </si>
  <si>
    <t>Талнахская 67-общ</t>
  </si>
  <si>
    <t>Молодежный 25-общ</t>
  </si>
  <si>
    <t>Металлургов 29-общ</t>
  </si>
  <si>
    <t>Севастопольская 13-общ</t>
  </si>
  <si>
    <t>Молодежный 15-общ</t>
  </si>
  <si>
    <t>Ленинский 46-общ</t>
  </si>
  <si>
    <t>пан</t>
  </si>
  <si>
    <t>кир</t>
  </si>
  <si>
    <t>ЧАСТНАЯ СОБСТВЕННОСТЬ</t>
  </si>
  <si>
    <t>МУНИЦИПАЛЬНАЯ СОБСТВЕННОСТЬ</t>
  </si>
  <si>
    <t>ЖИЛЫЕ ПОМЕЩЕНИЯ</t>
  </si>
  <si>
    <t>НЕЖИЛЫЕ ПОМЕЩЕНИЯ, КВ.М</t>
  </si>
  <si>
    <t>Внутриквартирные трубопроводы, п.м.</t>
  </si>
  <si>
    <t>1-447с</t>
  </si>
  <si>
    <t>общ</t>
  </si>
  <si>
    <t>1-464-82д</t>
  </si>
  <si>
    <t>к-69</t>
  </si>
  <si>
    <t>нк-12</t>
  </si>
  <si>
    <t>дгт</t>
  </si>
  <si>
    <t>50 лет Октября 1 /Ленинский 1</t>
  </si>
  <si>
    <t>смешанные дома</t>
  </si>
  <si>
    <t>смеш</t>
  </si>
  <si>
    <t>Комсомольская 25</t>
  </si>
  <si>
    <t>Набережная 33</t>
  </si>
  <si>
    <t>Набережная 45</t>
  </si>
  <si>
    <t>Комсомольская 3</t>
  </si>
  <si>
    <t>Набережная 49</t>
  </si>
  <si>
    <t>Комсомольская 17</t>
  </si>
  <si>
    <t>ОБЩЕЖИТИЯ всего, в т.ч.:</t>
  </si>
  <si>
    <t xml:space="preserve"> - 5-этажные (общего типа)</t>
  </si>
  <si>
    <t xml:space="preserve"> - 9-этажные (квартирного типа)</t>
  </si>
  <si>
    <t>ВСЕГО ж.д+общ.</t>
  </si>
  <si>
    <t>лестницы, межквартирные лестничные площадки</t>
  </si>
  <si>
    <t>общие коридоры ДГТ и общежитий (включая межквартирные холлы)</t>
  </si>
  <si>
    <t>лифты, лифтовые, лифтовые шахты</t>
  </si>
  <si>
    <t>колясочные, консъержные и т.п.</t>
  </si>
  <si>
    <t>чердаки (включая технический чердак)</t>
  </si>
  <si>
    <t>технические этажи</t>
  </si>
  <si>
    <t>подвал (техническое подполье, цокольный этаж)</t>
  </si>
  <si>
    <t>теплоцентры, бойлерные и т.п.</t>
  </si>
  <si>
    <t>иные помещения</t>
  </si>
  <si>
    <t>ИТОГО</t>
  </si>
  <si>
    <t>кол-во МКД, ед.</t>
  </si>
  <si>
    <t>длина трубопроводов, п.м</t>
  </si>
  <si>
    <t>в том числе</t>
  </si>
  <si>
    <t>кап.р., реконструкция</t>
  </si>
  <si>
    <t>под аренду</t>
  </si>
  <si>
    <t>ГОСУДАРСТВЕННАЯ СОБСТВЕННОСТЬ</t>
  </si>
  <si>
    <t>ВСЕГО (муниц.+ частная+гос.)</t>
  </si>
  <si>
    <t>Количество квартир, оборудованных индивидуальными приборами учета, ед.</t>
  </si>
  <si>
    <t>электроэнергия</t>
  </si>
  <si>
    <t>тепловая энергия</t>
  </si>
  <si>
    <t>горячая вода</t>
  </si>
  <si>
    <t>холодная вода</t>
  </si>
  <si>
    <t>Количество общедомовых приборов учета, установленных в МКД (только работоспособные приборы учета), ед.</t>
  </si>
  <si>
    <t>МКД, в которых общедомовые приборы учета приняты в коммерческий учет</t>
  </si>
  <si>
    <t>АИТП (автоматизированный индивидуальный тепловой пункт),    ед.</t>
  </si>
  <si>
    <t>всего</t>
  </si>
  <si>
    <t>в т.ч. муниципальные</t>
  </si>
  <si>
    <t>Характеристика жилищного фонда, обслуживаемого ООО "Жилищный трест", по состоянию  на 01.01.2016</t>
  </si>
  <si>
    <t>ПОМЕЩЕНИЯ, ВХОДЯЩИЕ В СОСТАВ ОБЩЕГО ИМУЩЕСТВА МКД, кв.м</t>
  </si>
  <si>
    <t>Доля РФ, субъекта РФ или муниципального образования в праве общей собственности на общее имущество в МКД более 50%</t>
  </si>
  <si>
    <t>площадь жилых помещений, кв.м</t>
  </si>
  <si>
    <t>доля в площади жил.помещ. мкд, %</t>
  </si>
  <si>
    <t>9.1</t>
  </si>
  <si>
    <t>Кадастровый номер земельного участка</t>
  </si>
  <si>
    <t>24:55:0402014:41</t>
  </si>
  <si>
    <t>24:55:0402022:18</t>
  </si>
  <si>
    <t>24:55:0402015:76</t>
  </si>
  <si>
    <t>24:55:0402015:77/            24:55:0402015:78</t>
  </si>
  <si>
    <t>24:55:0402014:51</t>
  </si>
  <si>
    <t>24:55:0402015:79</t>
  </si>
  <si>
    <t>24:55:0402015:80</t>
  </si>
  <si>
    <t>24:55:0402014:52</t>
  </si>
  <si>
    <t>24:55:0402015:81</t>
  </si>
  <si>
    <t>24:55:0402014:48</t>
  </si>
  <si>
    <t>24:55:0402015:82</t>
  </si>
  <si>
    <t>24:55:0402014:49</t>
  </si>
  <si>
    <t>24:55:0402014:54</t>
  </si>
  <si>
    <t>24:55:0402015:83</t>
  </si>
  <si>
    <t>24:55:0402015:84; 24:55:0402015:85; 24:55:0402015:86</t>
  </si>
  <si>
    <t>24:55:0402014:56</t>
  </si>
  <si>
    <t>24:55:0402015:87</t>
  </si>
  <si>
    <t>24:55:0402014:42</t>
  </si>
  <si>
    <t>24:55:0402014:50</t>
  </si>
  <si>
    <t>24:55:0402015:88</t>
  </si>
  <si>
    <t>24:55:0402015:89</t>
  </si>
  <si>
    <t>24:55:0402015:90</t>
  </si>
  <si>
    <t>24:55:0402014:57</t>
  </si>
  <si>
    <t>24:55:0402014:43</t>
  </si>
  <si>
    <t>24:55:0402014:47</t>
  </si>
  <si>
    <t>24:55:0402014:45</t>
  </si>
  <si>
    <t>24:55:0402014:55</t>
  </si>
  <si>
    <t>24:55:0402014:46</t>
  </si>
  <si>
    <t>24:55:0402014:58</t>
  </si>
  <si>
    <t>24:55:0402015:96</t>
  </si>
  <si>
    <t>24:55:0402015:91</t>
  </si>
  <si>
    <t>24:55:0402015:92</t>
  </si>
  <si>
    <t>24:55:0402015:93</t>
  </si>
  <si>
    <t>24:55:0402015:94</t>
  </si>
  <si>
    <t>24:55:0402015:95</t>
  </si>
  <si>
    <t>24:55:0402014:40</t>
  </si>
  <si>
    <t>24:55:0402014:53</t>
  </si>
  <si>
    <t>24:55:0402014:44</t>
  </si>
  <si>
    <t>24:55:0402001:130</t>
  </si>
  <si>
    <t>24:55:0402010:82</t>
  </si>
  <si>
    <t>24:55:0402006:54</t>
  </si>
  <si>
    <t>24:55:0402006:55</t>
  </si>
  <si>
    <t>24:55:0402006:56</t>
  </si>
  <si>
    <t>24:55:0402016:216</t>
  </si>
  <si>
    <t>24:55:0402008:74</t>
  </si>
  <si>
    <t>24:55:0402001:134</t>
  </si>
  <si>
    <t>24:55:0402010:174</t>
  </si>
  <si>
    <t>24:55:0402005:105</t>
  </si>
  <si>
    <t>24:55:0402001:144</t>
  </si>
  <si>
    <t>24:55:0402001:169</t>
  </si>
  <si>
    <t>24:55:0402006:61</t>
  </si>
  <si>
    <t>24:55:0402016:213</t>
  </si>
  <si>
    <t>24:55:0402016:214</t>
  </si>
  <si>
    <t>24:55:0402016:268</t>
  </si>
  <si>
    <t>24:55:0402016:267</t>
  </si>
  <si>
    <t>24:55:0402016:218</t>
  </si>
  <si>
    <t>24:55:0402002:89</t>
  </si>
  <si>
    <t>24:55:0402012:68</t>
  </si>
  <si>
    <t>24:55:0402005:124</t>
  </si>
  <si>
    <r>
      <t>Фасад, м</t>
    </r>
    <r>
      <rPr>
        <vertAlign val="superscript"/>
        <sz val="10"/>
        <color indexed="8"/>
        <rFont val="Times New Roman"/>
        <family val="1"/>
      </rPr>
      <t>2</t>
    </r>
  </si>
  <si>
    <r>
      <t>Газоны, м</t>
    </r>
    <r>
      <rPr>
        <vertAlign val="superscript"/>
        <sz val="10"/>
        <color indexed="8"/>
        <rFont val="Times New Roman"/>
        <family val="1"/>
      </rPr>
      <t>2</t>
    </r>
  </si>
  <si>
    <r>
      <t>Цокольная забирка, м</t>
    </r>
    <r>
      <rPr>
        <vertAlign val="superscript"/>
        <sz val="10"/>
        <color indexed="8"/>
        <rFont val="Times New Roman"/>
        <family val="1"/>
      </rPr>
      <t>2</t>
    </r>
  </si>
  <si>
    <r>
      <t>Площадь подполий, м</t>
    </r>
    <r>
      <rPr>
        <vertAlign val="superscript"/>
        <sz val="10"/>
        <color indexed="8"/>
        <rFont val="Times New Roman"/>
        <family val="1"/>
      </rPr>
      <t>2</t>
    </r>
  </si>
  <si>
    <r>
      <t>Площадь чердаков, м</t>
    </r>
    <r>
      <rPr>
        <vertAlign val="superscript"/>
        <sz val="10"/>
        <color indexed="8"/>
        <rFont val="Times New Roman"/>
        <family val="1"/>
      </rPr>
      <t>2</t>
    </r>
  </si>
  <si>
    <r>
      <t>Площадь чердаков с верхней разводкой ТВС, м</t>
    </r>
    <r>
      <rPr>
        <vertAlign val="superscript"/>
        <sz val="10"/>
        <color indexed="8"/>
        <rFont val="Times New Roman"/>
        <family val="1"/>
      </rPr>
      <t>2</t>
    </r>
  </si>
  <si>
    <r>
      <t>площадь фасада кирпичные здания, м</t>
    </r>
    <r>
      <rPr>
        <vertAlign val="superscript"/>
        <sz val="10"/>
        <color indexed="8"/>
        <rFont val="Times New Roman"/>
        <family val="1"/>
      </rPr>
      <t>2</t>
    </r>
  </si>
  <si>
    <r>
      <t>площадь земельного участка по кадастровому паспорту, м</t>
    </r>
    <r>
      <rPr>
        <vertAlign val="superscript"/>
        <sz val="11"/>
        <color indexed="8"/>
        <rFont val="Times New Roman"/>
        <family val="1"/>
      </rPr>
      <t>2</t>
    </r>
  </si>
  <si>
    <r>
      <t>площадь придомовой территории, м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</si>
  <si>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МКД с </t>
    </r>
    <r>
      <rPr>
        <u val="single"/>
        <sz val="10"/>
        <color indexed="8"/>
        <rFont val="Times New Roman"/>
        <family val="1"/>
      </rPr>
      <t>МЕДНЫМИ</t>
    </r>
    <r>
      <rPr>
        <sz val="10"/>
        <color indexed="8"/>
        <rFont val="Times New Roman"/>
        <family val="1"/>
      </rPr>
      <t xml:space="preserve"> внутриквартирными трубопроводами</t>
    </r>
  </si>
  <si>
    <r>
      <t xml:space="preserve">МКД со </t>
    </r>
    <r>
      <rPr>
        <u val="single"/>
        <sz val="10"/>
        <color indexed="8"/>
        <rFont val="Times New Roman"/>
        <family val="1"/>
      </rPr>
      <t>СТАЛЬНЫМИ</t>
    </r>
    <r>
      <rPr>
        <sz val="10"/>
        <color indexed="8"/>
        <rFont val="Times New Roman"/>
        <family val="1"/>
      </rPr>
      <t xml:space="preserve"> внутриквартирными трубопроводами</t>
    </r>
  </si>
  <si>
    <r>
      <t xml:space="preserve">физический износ, % </t>
    </r>
    <r>
      <rPr>
        <sz val="10"/>
        <color indexed="8"/>
        <rFont val="Times New Roman"/>
        <family val="1"/>
      </rPr>
      <t>(осмотр осень 2015)</t>
    </r>
  </si>
  <si>
    <r>
      <t>общая площадь, м</t>
    </r>
    <r>
      <rPr>
        <vertAlign val="superscript"/>
        <sz val="10"/>
        <color indexed="8"/>
        <rFont val="Times New Roman"/>
        <family val="1"/>
      </rPr>
      <t>2</t>
    </r>
  </si>
  <si>
    <r>
      <t>жилая площадь, м</t>
    </r>
    <r>
      <rPr>
        <vertAlign val="superscript"/>
        <sz val="10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</si>
</sst>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</numFmts>
  <fonts count="6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21"/>
      <name val="Times New Roman"/>
      <family val="1"/>
    </font>
    <font>
      <sz val="10"/>
      <color indexed="6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8" tint="-0.4999699890613556"/>
      <name val="Times New Roman"/>
      <family val="1"/>
    </font>
    <font>
      <sz val="10"/>
      <color theme="9" tint="-0.4999699890613556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53" applyNumberFormat="1" applyFont="1" applyFill="1" applyBorder="1" applyAlignment="1" applyProtection="1">
      <alignment horizontal="left" vertical="center"/>
      <protection locked="0"/>
    </xf>
    <xf numFmtId="0" fontId="0" fillId="0" borderId="0" xfId="53" applyNumberFormat="1" applyFont="1" applyFill="1" applyAlignment="1">
      <alignment vertical="center"/>
      <protection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62" applyNumberFormat="1" applyFont="1" applyFill="1" applyAlignment="1" applyProtection="1">
      <alignment vertical="center"/>
      <protection locked="0"/>
    </xf>
    <xf numFmtId="0" fontId="0" fillId="0" borderId="0" xfId="62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4" fillId="0" borderId="0" xfId="0" applyNumberFormat="1" applyFont="1" applyFill="1" applyAlignment="1">
      <alignment vertical="center"/>
    </xf>
    <xf numFmtId="0" fontId="54" fillId="0" borderId="0" xfId="53" applyNumberFormat="1" applyFont="1" applyFill="1" applyAlignment="1">
      <alignment vertical="center"/>
      <protection/>
    </xf>
    <xf numFmtId="0" fontId="54" fillId="0" borderId="0" xfId="62" applyNumberFormat="1" applyFont="1" applyFill="1" applyAlignment="1" applyProtection="1">
      <alignment vertical="center"/>
      <protection locked="0"/>
    </xf>
    <xf numFmtId="0" fontId="54" fillId="0" borderId="0" xfId="62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4" fillId="0" borderId="10" xfId="53" applyNumberFormat="1" applyFont="1" applyFill="1" applyBorder="1" applyAlignment="1" applyProtection="1">
      <alignment horizontal="left" vertical="center"/>
      <protection locked="0"/>
    </xf>
    <xf numFmtId="0" fontId="56" fillId="0" borderId="10" xfId="53" applyNumberFormat="1" applyFont="1" applyFill="1" applyBorder="1" applyAlignment="1" applyProtection="1">
      <alignment horizontal="left" vertical="center"/>
      <protection locked="0"/>
    </xf>
    <xf numFmtId="0" fontId="56" fillId="0" borderId="0" xfId="53" applyNumberFormat="1" applyFont="1" applyFill="1" applyAlignment="1">
      <alignment vertical="center"/>
      <protection/>
    </xf>
    <xf numFmtId="0" fontId="3" fillId="0" borderId="0" xfId="0" applyNumberFormat="1" applyFont="1" applyFill="1" applyAlignment="1">
      <alignment vertical="center"/>
    </xf>
    <xf numFmtId="0" fontId="57" fillId="0" borderId="10" xfId="53" applyNumberFormat="1" applyFont="1" applyFill="1" applyBorder="1" applyAlignment="1" applyProtection="1">
      <alignment horizontal="left" vertical="center"/>
      <protection locked="0"/>
    </xf>
    <xf numFmtId="0" fontId="57" fillId="0" borderId="0" xfId="53" applyNumberFormat="1" applyFont="1" applyFill="1" applyAlignment="1">
      <alignment vertical="center"/>
      <protection/>
    </xf>
    <xf numFmtId="0" fontId="57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 applyProtection="1">
      <alignment vertical="center"/>
      <protection locked="0"/>
    </xf>
    <xf numFmtId="0" fontId="61" fillId="0" borderId="0" xfId="0" applyNumberFormat="1" applyFont="1" applyFill="1" applyBorder="1" applyAlignment="1" applyProtection="1">
      <alignment vertical="center"/>
      <protection locked="0"/>
    </xf>
    <xf numFmtId="0" fontId="62" fillId="0" borderId="0" xfId="0" applyNumberFormat="1" applyFont="1" applyFill="1" applyAlignment="1">
      <alignment vertical="center"/>
    </xf>
    <xf numFmtId="0" fontId="62" fillId="0" borderId="0" xfId="0" applyNumberFormat="1" applyFont="1" applyFill="1" applyBorder="1" applyAlignment="1">
      <alignment horizontal="centerContinuous" vertical="center"/>
    </xf>
    <xf numFmtId="0" fontId="62" fillId="0" borderId="0" xfId="62" applyNumberFormat="1" applyFont="1" applyFill="1" applyBorder="1" applyAlignment="1">
      <alignment horizontal="centerContinuous" vertical="center"/>
    </xf>
    <xf numFmtId="0" fontId="62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60" fillId="0" borderId="0" xfId="0" applyNumberFormat="1" applyFont="1" applyFill="1" applyAlignment="1">
      <alignment vertical="center"/>
    </xf>
    <xf numFmtId="0" fontId="63" fillId="0" borderId="0" xfId="0" applyNumberFormat="1" applyFont="1" applyFill="1" applyAlignment="1">
      <alignment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164" fontId="62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>
      <alignment horizontal="center" vertical="center" wrapText="1"/>
    </xf>
    <xf numFmtId="164" fontId="62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/>
    </xf>
    <xf numFmtId="0" fontId="62" fillId="0" borderId="16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vertical="center"/>
    </xf>
    <xf numFmtId="0" fontId="62" fillId="0" borderId="10" xfId="53" applyNumberFormat="1" applyFont="1" applyFill="1" applyBorder="1" applyAlignment="1" applyProtection="1">
      <alignment horizontal="right" vertical="center"/>
      <protection locked="0"/>
    </xf>
    <xf numFmtId="0" fontId="62" fillId="0" borderId="10" xfId="0" applyNumberFormat="1" applyFont="1" applyFill="1" applyBorder="1" applyAlignment="1" applyProtection="1">
      <alignment horizontal="left" vertical="center"/>
      <protection locked="0"/>
    </xf>
    <xf numFmtId="1" fontId="62" fillId="0" borderId="10" xfId="0" applyNumberFormat="1" applyFont="1" applyFill="1" applyBorder="1" applyAlignment="1">
      <alignment horizontal="right" vertical="center"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NumberFormat="1" applyFont="1" applyFill="1" applyBorder="1" applyAlignment="1">
      <alignment horizontal="right" vertical="center"/>
    </xf>
    <xf numFmtId="3" fontId="62" fillId="0" borderId="10" xfId="0" applyNumberFormat="1" applyFont="1" applyFill="1" applyBorder="1" applyAlignment="1">
      <alignment horizontal="right" vertical="center"/>
    </xf>
    <xf numFmtId="0" fontId="62" fillId="0" borderId="10" xfId="53" applyNumberFormat="1" applyFont="1" applyFill="1" applyBorder="1" applyAlignment="1" applyProtection="1">
      <alignment horizontal="right"/>
      <protection locked="0"/>
    </xf>
    <xf numFmtId="4" fontId="62" fillId="0" borderId="10" xfId="62" applyNumberFormat="1" applyFont="1" applyFill="1" applyBorder="1" applyAlignment="1" applyProtection="1">
      <alignment horizontal="right" vertical="center"/>
      <protection locked="0"/>
    </xf>
    <xf numFmtId="166" fontId="62" fillId="0" borderId="10" xfId="62" applyNumberFormat="1" applyFont="1" applyFill="1" applyBorder="1" applyAlignment="1" applyProtection="1">
      <alignment horizontal="right" vertical="center"/>
      <protection locked="0"/>
    </xf>
    <xf numFmtId="0" fontId="62" fillId="0" borderId="10" xfId="53" applyNumberFormat="1" applyFont="1" applyFill="1" applyBorder="1" applyAlignment="1" applyProtection="1">
      <alignment horizontal="right"/>
      <protection locked="0"/>
    </xf>
    <xf numFmtId="3" fontId="62" fillId="0" borderId="10" xfId="62" applyNumberFormat="1" applyFont="1" applyFill="1" applyBorder="1" applyAlignment="1">
      <alignment horizontal="right" vertical="center"/>
    </xf>
    <xf numFmtId="3" fontId="62" fillId="0" borderId="10" xfId="53" applyNumberFormat="1" applyFont="1" applyFill="1" applyBorder="1" applyAlignment="1">
      <alignment horizontal="right" vertical="center"/>
      <protection/>
    </xf>
    <xf numFmtId="166" fontId="62" fillId="0" borderId="10" xfId="53" applyNumberFormat="1" applyFont="1" applyFill="1" applyBorder="1" applyAlignment="1">
      <alignment horizontal="right" vertical="center"/>
      <protection/>
    </xf>
    <xf numFmtId="166" fontId="62" fillId="0" borderId="10" xfId="0" applyNumberFormat="1" applyFont="1" applyFill="1" applyBorder="1" applyAlignment="1">
      <alignment horizontal="right" vertical="center"/>
    </xf>
    <xf numFmtId="4" fontId="62" fillId="0" borderId="0" xfId="0" applyNumberFormat="1" applyFont="1" applyFill="1" applyBorder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/>
    </xf>
    <xf numFmtId="4" fontId="45" fillId="0" borderId="10" xfId="0" applyNumberFormat="1" applyFont="1" applyFill="1" applyBorder="1" applyAlignment="1">
      <alignment/>
    </xf>
    <xf numFmtId="3" fontId="62" fillId="0" borderId="0" xfId="0" applyNumberFormat="1" applyFont="1" applyFill="1" applyAlignment="1">
      <alignment vertical="center"/>
    </xf>
    <xf numFmtId="3" fontId="62" fillId="0" borderId="0" xfId="53" applyNumberFormat="1" applyFont="1" applyFill="1" applyAlignment="1">
      <alignment horizontal="right" vertical="center"/>
      <protection/>
    </xf>
    <xf numFmtId="3" fontId="62" fillId="0" borderId="0" xfId="53" applyNumberFormat="1" applyFont="1" applyFill="1" applyAlignment="1">
      <alignment vertical="center"/>
      <protection/>
    </xf>
    <xf numFmtId="0" fontId="62" fillId="0" borderId="10" xfId="53" applyNumberFormat="1" applyFont="1" applyFill="1" applyBorder="1" applyAlignment="1">
      <alignment vertical="center"/>
      <protection/>
    </xf>
    <xf numFmtId="0" fontId="62" fillId="0" borderId="10" xfId="53" applyNumberFormat="1" applyFont="1" applyFill="1" applyBorder="1" applyAlignment="1">
      <alignment horizontal="right" vertical="center"/>
      <protection/>
    </xf>
    <xf numFmtId="167" fontId="63" fillId="0" borderId="10" xfId="0" applyNumberFormat="1" applyFont="1" applyFill="1" applyBorder="1" applyAlignment="1">
      <alignment vertical="center"/>
    </xf>
    <xf numFmtId="0" fontId="62" fillId="0" borderId="10" xfId="0" applyNumberFormat="1" applyFont="1" applyFill="1" applyBorder="1" applyAlignment="1" applyProtection="1">
      <alignment horizontal="right"/>
      <protection locked="0"/>
    </xf>
    <xf numFmtId="0" fontId="62" fillId="0" borderId="10" xfId="0" applyNumberFormat="1" applyFont="1" applyFill="1" applyBorder="1" applyAlignment="1" applyProtection="1">
      <alignment horizontal="right"/>
      <protection locked="0"/>
    </xf>
    <xf numFmtId="0" fontId="62" fillId="0" borderId="10" xfId="0" applyNumberFormat="1" applyFont="1" applyFill="1" applyBorder="1" applyAlignment="1">
      <alignment horizontal="right"/>
    </xf>
    <xf numFmtId="0" fontId="62" fillId="0" borderId="10" xfId="0" applyNumberFormat="1" applyFont="1" applyFill="1" applyBorder="1" applyAlignment="1">
      <alignment horizontal="right"/>
    </xf>
    <xf numFmtId="3" fontId="62" fillId="0" borderId="10" xfId="62" applyNumberFormat="1" applyFont="1" applyFill="1" applyBorder="1" applyAlignment="1" applyProtection="1">
      <alignment horizontal="right" vertical="center"/>
      <protection locked="0"/>
    </xf>
    <xf numFmtId="4" fontId="62" fillId="0" borderId="10" xfId="0" applyNumberFormat="1" applyFont="1" applyFill="1" applyBorder="1" applyAlignment="1">
      <alignment horizontal="right" vertical="center"/>
    </xf>
    <xf numFmtId="0" fontId="62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62" fillId="0" borderId="10" xfId="53" applyNumberFormat="1" applyFont="1" applyFill="1" applyBorder="1" applyAlignment="1" applyProtection="1">
      <alignment horizontal="right" vertical="center" wrapText="1"/>
      <protection locked="0"/>
    </xf>
    <xf numFmtId="166" fontId="62" fillId="0" borderId="10" xfId="62" applyNumberFormat="1" applyFont="1" applyFill="1" applyBorder="1" applyAlignment="1">
      <alignment horizontal="right" vertical="center"/>
    </xf>
    <xf numFmtId="0" fontId="62" fillId="0" borderId="10" xfId="0" applyNumberFormat="1" applyFont="1" applyFill="1" applyBorder="1" applyAlignment="1" applyProtection="1">
      <alignment horizontal="left" vertical="center"/>
      <protection locked="0"/>
    </xf>
    <xf numFmtId="166" fontId="62" fillId="0" borderId="10" xfId="63" applyNumberFormat="1" applyFont="1" applyFill="1" applyBorder="1" applyAlignment="1" applyProtection="1">
      <alignment horizontal="right" vertical="center"/>
      <protection locked="0"/>
    </xf>
    <xf numFmtId="0" fontId="62" fillId="0" borderId="10" xfId="53" applyNumberFormat="1" applyFont="1" applyFill="1" applyBorder="1" applyAlignment="1" applyProtection="1">
      <alignment horizontal="left" vertical="center"/>
      <protection locked="0"/>
    </xf>
    <xf numFmtId="1" fontId="62" fillId="0" borderId="10" xfId="53" applyNumberFormat="1" applyFont="1" applyFill="1" applyBorder="1" applyAlignment="1">
      <alignment horizontal="right" vertical="center"/>
      <protection/>
    </xf>
    <xf numFmtId="0" fontId="62" fillId="0" borderId="10" xfId="53" applyNumberFormat="1" applyFont="1" applyFill="1" applyBorder="1" applyAlignment="1" applyProtection="1">
      <alignment horizontal="center" vertical="center"/>
      <protection locked="0"/>
    </xf>
    <xf numFmtId="0" fontId="62" fillId="0" borderId="10" xfId="52" applyFont="1" applyFill="1" applyBorder="1" applyAlignment="1">
      <alignment vertical="center"/>
      <protection/>
    </xf>
    <xf numFmtId="4" fontId="62" fillId="0" borderId="10" xfId="64" applyNumberFormat="1" applyFont="1" applyFill="1" applyBorder="1" applyAlignment="1" applyProtection="1">
      <alignment horizontal="right" vertical="center"/>
      <protection locked="0"/>
    </xf>
    <xf numFmtId="166" fontId="62" fillId="0" borderId="10" xfId="64" applyNumberFormat="1" applyFont="1" applyFill="1" applyBorder="1" applyAlignment="1" applyProtection="1">
      <alignment horizontal="right" vertical="center"/>
      <protection locked="0"/>
    </xf>
    <xf numFmtId="4" fontId="62" fillId="0" borderId="0" xfId="53" applyNumberFormat="1" applyFont="1" applyFill="1" applyBorder="1" applyAlignment="1">
      <alignment horizontal="right" vertical="center"/>
      <protection/>
    </xf>
    <xf numFmtId="4" fontId="62" fillId="0" borderId="0" xfId="53" applyNumberFormat="1" applyFont="1" applyFill="1" applyAlignment="1">
      <alignment vertical="center"/>
      <protection/>
    </xf>
    <xf numFmtId="3" fontId="62" fillId="0" borderId="10" xfId="53" applyNumberFormat="1" applyFont="1" applyFill="1" applyBorder="1" applyAlignment="1">
      <alignment horizontal="right" vertical="center"/>
      <protection/>
    </xf>
    <xf numFmtId="3" fontId="62" fillId="0" borderId="10" xfId="64" applyNumberFormat="1" applyFont="1" applyFill="1" applyBorder="1" applyAlignment="1">
      <alignment horizontal="right" vertical="center"/>
    </xf>
    <xf numFmtId="1" fontId="62" fillId="0" borderId="10" xfId="53" applyNumberFormat="1" applyFont="1" applyFill="1" applyBorder="1" applyAlignment="1">
      <alignment vertical="center"/>
      <protection/>
    </xf>
    <xf numFmtId="3" fontId="62" fillId="0" borderId="10" xfId="53" applyNumberFormat="1" applyFont="1" applyFill="1" applyBorder="1" applyAlignment="1">
      <alignment vertical="center"/>
      <protection/>
    </xf>
    <xf numFmtId="3" fontId="62" fillId="0" borderId="10" xfId="53" applyNumberFormat="1" applyFont="1" applyFill="1" applyBorder="1" applyAlignment="1" applyProtection="1">
      <alignment horizontal="center" vertical="center"/>
      <protection locked="0"/>
    </xf>
    <xf numFmtId="4" fontId="62" fillId="0" borderId="10" xfId="64" applyNumberFormat="1" applyFont="1" applyFill="1" applyBorder="1" applyAlignment="1">
      <alignment vertical="center"/>
    </xf>
    <xf numFmtId="3" fontId="62" fillId="0" borderId="10" xfId="64" applyNumberFormat="1" applyFont="1" applyFill="1" applyBorder="1" applyAlignment="1">
      <alignment vertical="center"/>
    </xf>
    <xf numFmtId="166" fontId="62" fillId="0" borderId="10" xfId="53" applyNumberFormat="1" applyFont="1" applyFill="1" applyBorder="1" applyAlignment="1">
      <alignment vertical="center"/>
      <protection/>
    </xf>
    <xf numFmtId="4" fontId="62" fillId="0" borderId="10" xfId="64" applyNumberFormat="1" applyFont="1" applyFill="1" applyBorder="1" applyAlignment="1" applyProtection="1">
      <alignment vertical="center"/>
      <protection locked="0"/>
    </xf>
    <xf numFmtId="4" fontId="62" fillId="0" borderId="10" xfId="53" applyNumberFormat="1" applyFont="1" applyFill="1" applyBorder="1" applyAlignment="1">
      <alignment vertical="center"/>
      <protection/>
    </xf>
    <xf numFmtId="3" fontId="62" fillId="0" borderId="10" xfId="53" applyNumberFormat="1" applyFont="1" applyFill="1" applyBorder="1" applyAlignment="1">
      <alignment horizontal="center" vertical="center"/>
      <protection/>
    </xf>
    <xf numFmtId="4" fontId="62" fillId="0" borderId="0" xfId="53" applyNumberFormat="1" applyFont="1" applyFill="1" applyBorder="1" applyAlignment="1">
      <alignment vertical="center"/>
      <protection/>
    </xf>
    <xf numFmtId="3" fontId="62" fillId="0" borderId="10" xfId="64" applyNumberFormat="1" applyFont="1" applyFill="1" applyBorder="1" applyAlignment="1" applyProtection="1">
      <alignment vertical="center"/>
      <protection locked="0"/>
    </xf>
    <xf numFmtId="3" fontId="62" fillId="0" borderId="10" xfId="53" applyNumberFormat="1" applyFont="1" applyFill="1" applyBorder="1" applyAlignment="1">
      <alignment vertical="center"/>
      <protection/>
    </xf>
    <xf numFmtId="4" fontId="45" fillId="0" borderId="10" xfId="0" applyNumberFormat="1" applyFont="1" applyFill="1" applyBorder="1" applyAlignment="1">
      <alignment vertical="center"/>
    </xf>
    <xf numFmtId="0" fontId="62" fillId="0" borderId="14" xfId="53" applyNumberFormat="1" applyFont="1" applyFill="1" applyBorder="1" applyAlignment="1" applyProtection="1">
      <alignment horizontal="right" vertical="center"/>
      <protection locked="0"/>
    </xf>
    <xf numFmtId="0" fontId="62" fillId="0" borderId="14" xfId="0" applyNumberFormat="1" applyFont="1" applyFill="1" applyBorder="1" applyAlignment="1" applyProtection="1">
      <alignment horizontal="left" vertical="center"/>
      <protection locked="0"/>
    </xf>
    <xf numFmtId="1" fontId="62" fillId="0" borderId="14" xfId="0" applyNumberFormat="1" applyFont="1" applyFill="1" applyBorder="1" applyAlignment="1">
      <alignment horizontal="right" vertical="center"/>
    </xf>
    <xf numFmtId="0" fontId="62" fillId="0" borderId="14" xfId="0" applyNumberFormat="1" applyFont="1" applyFill="1" applyBorder="1" applyAlignment="1" applyProtection="1">
      <alignment horizontal="center" vertical="center"/>
      <protection locked="0"/>
    </xf>
    <xf numFmtId="0" fontId="62" fillId="0" borderId="14" xfId="0" applyNumberFormat="1" applyFont="1" applyFill="1" applyBorder="1" applyAlignment="1">
      <alignment horizontal="right" vertical="center"/>
    </xf>
    <xf numFmtId="3" fontId="62" fillId="0" borderId="14" xfId="0" applyNumberFormat="1" applyFont="1" applyFill="1" applyBorder="1" applyAlignment="1">
      <alignment horizontal="right" vertical="center"/>
    </xf>
    <xf numFmtId="166" fontId="62" fillId="0" borderId="14" xfId="62" applyNumberFormat="1" applyFont="1" applyFill="1" applyBorder="1" applyAlignment="1" applyProtection="1">
      <alignment horizontal="right" vertical="center"/>
      <protection locked="0"/>
    </xf>
    <xf numFmtId="166" fontId="62" fillId="0" borderId="14" xfId="62" applyNumberFormat="1" applyFont="1" applyFill="1" applyBorder="1" applyAlignment="1">
      <alignment horizontal="right" vertical="center"/>
    </xf>
    <xf numFmtId="3" fontId="62" fillId="0" borderId="14" xfId="53" applyNumberFormat="1" applyFont="1" applyFill="1" applyBorder="1" applyAlignment="1">
      <alignment horizontal="right" vertical="center"/>
      <protection/>
    </xf>
    <xf numFmtId="166" fontId="62" fillId="0" borderId="14" xfId="53" applyNumberFormat="1" applyFont="1" applyFill="1" applyBorder="1" applyAlignment="1">
      <alignment horizontal="right" vertical="center"/>
      <protection/>
    </xf>
    <xf numFmtId="166" fontId="62" fillId="0" borderId="14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horizontal="right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62" applyNumberFormat="1" applyFont="1" applyFill="1" applyBorder="1" applyAlignment="1">
      <alignment vertical="center"/>
    </xf>
    <xf numFmtId="0" fontId="62" fillId="0" borderId="10" xfId="62" applyNumberFormat="1" applyFont="1" applyFill="1" applyBorder="1" applyAlignment="1" applyProtection="1">
      <alignment vertical="center"/>
      <protection locked="0"/>
    </xf>
    <xf numFmtId="0" fontId="60" fillId="0" borderId="10" xfId="0" applyNumberFormat="1" applyFont="1" applyFill="1" applyBorder="1" applyAlignment="1">
      <alignment vertical="center"/>
    </xf>
    <xf numFmtId="0" fontId="60" fillId="0" borderId="10" xfId="0" applyNumberFormat="1" applyFont="1" applyFill="1" applyBorder="1" applyAlignment="1" applyProtection="1">
      <alignment horizontal="left" vertical="center"/>
      <protection locked="0"/>
    </xf>
    <xf numFmtId="3" fontId="60" fillId="0" borderId="10" xfId="0" applyNumberFormat="1" applyFont="1" applyFill="1" applyBorder="1" applyAlignment="1">
      <alignment vertical="center"/>
    </xf>
    <xf numFmtId="0" fontId="60" fillId="0" borderId="10" xfId="0" applyNumberFormat="1" applyFont="1" applyFill="1" applyBorder="1" applyAlignment="1" applyProtection="1">
      <alignment horizontal="center" vertical="center"/>
      <protection locked="0"/>
    </xf>
    <xf numFmtId="3" fontId="60" fillId="0" borderId="10" xfId="0" applyNumberFormat="1" applyFont="1" applyFill="1" applyBorder="1" applyAlignment="1">
      <alignment vertical="center"/>
    </xf>
    <xf numFmtId="4" fontId="60" fillId="0" borderId="10" xfId="0" applyNumberFormat="1" applyFont="1" applyFill="1" applyBorder="1" applyAlignment="1">
      <alignment vertical="center"/>
    </xf>
    <xf numFmtId="166" fontId="60" fillId="0" borderId="10" xfId="0" applyNumberFormat="1" applyFont="1" applyFill="1" applyBorder="1" applyAlignment="1">
      <alignment vertical="center"/>
    </xf>
    <xf numFmtId="3" fontId="60" fillId="0" borderId="11" xfId="0" applyNumberFormat="1" applyFont="1" applyFill="1" applyBorder="1" applyAlignment="1">
      <alignment vertical="center"/>
    </xf>
    <xf numFmtId="167" fontId="64" fillId="0" borderId="1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NumberFormat="1" applyFont="1" applyFill="1" applyBorder="1" applyAlignment="1" applyProtection="1">
      <alignment horizontal="left" vertical="center"/>
      <protection locked="0"/>
    </xf>
    <xf numFmtId="0" fontId="62" fillId="0" borderId="0" xfId="62" applyNumberFormat="1" applyFont="1" applyFill="1" applyBorder="1" applyAlignment="1">
      <alignment vertical="center"/>
    </xf>
    <xf numFmtId="0" fontId="62" fillId="0" borderId="0" xfId="62" applyNumberFormat="1" applyFont="1" applyFill="1" applyBorder="1" applyAlignment="1" applyProtection="1">
      <alignment horizontal="left" vertical="center"/>
      <protection locked="0"/>
    </xf>
    <xf numFmtId="3" fontId="62" fillId="0" borderId="0" xfId="62" applyNumberFormat="1" applyFont="1" applyFill="1" applyBorder="1" applyAlignment="1">
      <alignment vertical="center"/>
    </xf>
    <xf numFmtId="3" fontId="60" fillId="0" borderId="0" xfId="62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55" applyNumberFormat="1" applyFont="1" applyFill="1" applyBorder="1" applyAlignment="1" applyProtection="1">
      <alignment horizontal="left" vertical="center"/>
      <protection locked="0"/>
    </xf>
    <xf numFmtId="0" fontId="60" fillId="0" borderId="0" xfId="62" applyNumberFormat="1" applyFont="1" applyFill="1" applyBorder="1" applyAlignment="1">
      <alignment vertical="center"/>
    </xf>
    <xf numFmtId="0" fontId="60" fillId="0" borderId="0" xfId="62" applyNumberFormat="1" applyFont="1" applyFill="1" applyBorder="1" applyAlignment="1" applyProtection="1">
      <alignment horizontal="left" vertical="center"/>
      <protection locked="0"/>
    </xf>
    <xf numFmtId="3" fontId="64" fillId="0" borderId="0" xfId="62" applyNumberFormat="1" applyFont="1" applyFill="1" applyBorder="1" applyAlignment="1">
      <alignment vertical="center"/>
    </xf>
    <xf numFmtId="3" fontId="60" fillId="0" borderId="0" xfId="62" applyNumberFormat="1" applyFont="1" applyFill="1" applyBorder="1" applyAlignment="1">
      <alignment horizontal="right" vertical="center"/>
    </xf>
    <xf numFmtId="167" fontId="64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horizontal="left" vertical="center"/>
      <protection locked="0"/>
    </xf>
    <xf numFmtId="0" fontId="60" fillId="0" borderId="0" xfId="62" applyNumberFormat="1" applyFont="1" applyFill="1" applyBorder="1" applyAlignment="1" applyProtection="1">
      <alignment horizontal="right" vertical="center"/>
      <protection locked="0"/>
    </xf>
    <xf numFmtId="0" fontId="62" fillId="0" borderId="0" xfId="62" applyNumberFormat="1" applyFont="1" applyFill="1" applyBorder="1" applyAlignment="1" applyProtection="1">
      <alignment horizontal="center" vertical="center"/>
      <protection locked="0"/>
    </xf>
    <xf numFmtId="3" fontId="63" fillId="0" borderId="0" xfId="62" applyNumberFormat="1" applyFont="1" applyFill="1" applyBorder="1" applyAlignment="1">
      <alignment vertical="center"/>
    </xf>
    <xf numFmtId="3" fontId="62" fillId="0" borderId="0" xfId="62" applyNumberFormat="1" applyFont="1" applyFill="1" applyBorder="1" applyAlignment="1">
      <alignment horizontal="right" vertical="center"/>
    </xf>
    <xf numFmtId="167" fontId="63" fillId="0" borderId="0" xfId="0" applyNumberFormat="1" applyFont="1" applyFill="1" applyBorder="1" applyAlignment="1">
      <alignment vertical="center"/>
    </xf>
    <xf numFmtId="166" fontId="62" fillId="0" borderId="0" xfId="62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 applyProtection="1">
      <alignment horizontal="right" vertical="center"/>
      <protection locked="0"/>
    </xf>
    <xf numFmtId="3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right" vertical="center"/>
    </xf>
    <xf numFmtId="166" fontId="62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Alignment="1" applyProtection="1">
      <alignment horizontal="left" vertical="center"/>
      <protection locked="0"/>
    </xf>
    <xf numFmtId="0" fontId="62" fillId="0" borderId="0" xfId="0" applyNumberFormat="1" applyFont="1" applyFill="1" applyAlignment="1" applyProtection="1">
      <alignment horizontal="center" vertical="center"/>
      <protection locked="0"/>
    </xf>
    <xf numFmtId="0" fontId="62" fillId="0" borderId="0" xfId="0" applyNumberFormat="1" applyFont="1" applyFill="1" applyAlignment="1">
      <alignment horizontal="right" vertical="center"/>
    </xf>
    <xf numFmtId="167" fontId="63" fillId="0" borderId="0" xfId="0" applyNumberFormat="1" applyFont="1" applyFill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0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NumberFormat="1" applyFont="1" applyFill="1" applyAlignment="1">
      <alignment vertical="center"/>
    </xf>
    <xf numFmtId="0" fontId="60" fillId="0" borderId="0" xfId="0" applyNumberFormat="1" applyFont="1" applyFill="1" applyAlignment="1" applyProtection="1">
      <alignment horizontal="left" vertical="center"/>
      <protection locked="0"/>
    </xf>
    <xf numFmtId="0" fontId="60" fillId="0" borderId="0" xfId="0" applyNumberFormat="1" applyFont="1" applyFill="1" applyAlignment="1" applyProtection="1">
      <alignment horizontal="center" vertical="center"/>
      <protection locked="0"/>
    </xf>
    <xf numFmtId="3" fontId="60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vertical="center"/>
    </xf>
    <xf numFmtId="166" fontId="60" fillId="0" borderId="0" xfId="0" applyNumberFormat="1" applyFont="1" applyFill="1" applyAlignment="1">
      <alignment vertical="center"/>
    </xf>
    <xf numFmtId="3" fontId="64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horizontal="right" vertical="center"/>
    </xf>
    <xf numFmtId="167" fontId="64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3" fontId="62" fillId="0" borderId="0" xfId="0" applyNumberFormat="1" applyFont="1" applyFill="1" applyAlignment="1">
      <alignment vertical="center"/>
    </xf>
    <xf numFmtId="3" fontId="63" fillId="0" borderId="0" xfId="0" applyNumberFormat="1" applyFont="1" applyFill="1" applyAlignment="1">
      <alignment vertical="center"/>
    </xf>
    <xf numFmtId="3" fontId="62" fillId="0" borderId="0" xfId="0" applyNumberFormat="1" applyFont="1" applyFill="1" applyAlignment="1">
      <alignment horizontal="right" vertical="center"/>
    </xf>
    <xf numFmtId="0" fontId="62" fillId="0" borderId="0" xfId="62" applyNumberFormat="1" applyFont="1" applyFill="1" applyAlignment="1" applyProtection="1">
      <alignment vertical="center"/>
      <protection locked="0"/>
    </xf>
    <xf numFmtId="0" fontId="62" fillId="0" borderId="0" xfId="62" applyNumberFormat="1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53" applyNumberFormat="1" applyFont="1" applyFill="1" applyBorder="1" applyAlignment="1">
      <alignment horizontal="center" vertical="center" wrapText="1"/>
      <protection/>
    </xf>
    <xf numFmtId="0" fontId="60" fillId="0" borderId="10" xfId="53" applyNumberFormat="1" applyFont="1" applyFill="1" applyBorder="1" applyAlignment="1">
      <alignment horizontal="center" vertical="center" wrapText="1"/>
      <protection/>
    </xf>
    <xf numFmtId="0" fontId="62" fillId="0" borderId="14" xfId="0" applyNumberFormat="1" applyFont="1" applyFill="1" applyBorder="1" applyAlignment="1">
      <alignment horizontal="center" vertical="center" textRotation="90" wrapText="1"/>
    </xf>
    <xf numFmtId="0" fontId="62" fillId="0" borderId="13" xfId="0" applyNumberFormat="1" applyFont="1" applyFill="1" applyBorder="1" applyAlignment="1">
      <alignment horizontal="center" vertical="center" textRotation="90" wrapText="1"/>
    </xf>
    <xf numFmtId="0" fontId="62" fillId="0" borderId="17" xfId="0" applyNumberFormat="1" applyFont="1" applyFill="1" applyBorder="1" applyAlignment="1">
      <alignment horizontal="center" vertical="center" textRotation="90" wrapText="1"/>
    </xf>
    <xf numFmtId="0" fontId="62" fillId="0" borderId="14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textRotation="90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textRotation="90" wrapText="1"/>
    </xf>
    <xf numFmtId="0" fontId="62" fillId="0" borderId="14" xfId="52" applyFont="1" applyFill="1" applyBorder="1" applyAlignment="1">
      <alignment horizontal="center" vertical="center" textRotation="90" wrapText="1"/>
      <protection/>
    </xf>
    <xf numFmtId="0" fontId="62" fillId="0" borderId="13" xfId="52" applyFont="1" applyFill="1" applyBorder="1" applyAlignment="1">
      <alignment horizontal="center" vertical="center" textRotation="90" wrapText="1"/>
      <protection/>
    </xf>
    <xf numFmtId="0" fontId="62" fillId="0" borderId="17" xfId="52" applyFont="1" applyFill="1" applyBorder="1" applyAlignment="1">
      <alignment horizontal="center" vertical="center" textRotation="90" wrapText="1"/>
      <protection/>
    </xf>
    <xf numFmtId="164" fontId="62" fillId="0" borderId="11" xfId="62" applyNumberFormat="1" applyFont="1" applyFill="1" applyBorder="1" applyAlignment="1" applyProtection="1">
      <alignment horizontal="center" vertical="center" wrapText="1"/>
      <protection locked="0"/>
    </xf>
    <xf numFmtId="164" fontId="62" fillId="0" borderId="19" xfId="62" applyNumberFormat="1" applyFont="1" applyFill="1" applyBorder="1" applyAlignment="1" applyProtection="1">
      <alignment horizontal="center" vertical="center" wrapText="1"/>
      <protection locked="0"/>
    </xf>
    <xf numFmtId="164" fontId="62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1" xfId="62" applyNumberFormat="1" applyFont="1" applyFill="1" applyBorder="1" applyAlignment="1">
      <alignment horizontal="center" vertical="center" wrapText="1"/>
    </xf>
    <xf numFmtId="0" fontId="62" fillId="0" borderId="19" xfId="62" applyNumberFormat="1" applyFont="1" applyFill="1" applyBorder="1" applyAlignment="1">
      <alignment horizontal="center" vertical="center" wrapText="1"/>
    </xf>
    <xf numFmtId="0" fontId="62" fillId="0" borderId="18" xfId="62" applyNumberFormat="1" applyFont="1" applyFill="1" applyBorder="1" applyAlignment="1">
      <alignment horizontal="center" vertical="center" wrapText="1"/>
    </xf>
    <xf numFmtId="0" fontId="62" fillId="0" borderId="10" xfId="62" applyNumberFormat="1" applyFont="1" applyFill="1" applyBorder="1" applyAlignment="1">
      <alignment horizontal="center" vertical="center" wrapText="1"/>
    </xf>
    <xf numFmtId="164" fontId="62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3" applyNumberFormat="1" applyFont="1" applyFill="1" applyBorder="1" applyAlignment="1">
      <alignment horizontal="center" vertical="center" textRotation="90"/>
      <protection/>
    </xf>
    <xf numFmtId="0" fontId="0" fillId="0" borderId="13" xfId="53" applyNumberFormat="1" applyFont="1" applyFill="1" applyBorder="1" applyAlignment="1">
      <alignment horizontal="center" vertical="center" textRotation="90"/>
      <protection/>
    </xf>
    <xf numFmtId="0" fontId="0" fillId="0" borderId="17" xfId="53" applyNumberFormat="1" applyFont="1" applyFill="1" applyBorder="1" applyAlignment="1">
      <alignment horizontal="center" vertical="center" textRotation="90"/>
      <protection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 applyProtection="1">
      <alignment horizontal="center" vertical="center" textRotation="90" wrapText="1"/>
      <protection locked="0"/>
    </xf>
    <xf numFmtId="0" fontId="62" fillId="0" borderId="11" xfId="62" applyNumberFormat="1" applyFont="1" applyFill="1" applyBorder="1" applyAlignment="1">
      <alignment horizontal="center" vertical="center"/>
    </xf>
    <xf numFmtId="0" fontId="62" fillId="0" borderId="18" xfId="62" applyNumberFormat="1" applyFont="1" applyFill="1" applyBorder="1" applyAlignment="1">
      <alignment horizontal="center" vertical="center"/>
    </xf>
    <xf numFmtId="0" fontId="60" fillId="0" borderId="10" xfId="54" applyFont="1" applyFill="1" applyBorder="1" applyAlignment="1">
      <alignment horizontal="center" vertical="center" textRotation="90" wrapText="1"/>
      <protection/>
    </xf>
    <xf numFmtId="0" fontId="62" fillId="0" borderId="20" xfId="0" applyNumberFormat="1" applyFont="1" applyFill="1" applyBorder="1" applyAlignment="1">
      <alignment horizontal="center" vertical="center" wrapText="1"/>
    </xf>
    <xf numFmtId="0" fontId="62" fillId="0" borderId="21" xfId="0" applyNumberFormat="1" applyFont="1" applyFill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horizontal="center" vertical="center" wrapText="1"/>
    </xf>
    <xf numFmtId="0" fontId="62" fillId="0" borderId="23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62" fillId="0" borderId="24" xfId="0" applyNumberFormat="1" applyFont="1" applyFill="1" applyBorder="1" applyAlignment="1">
      <alignment horizontal="center" vertical="center" wrapText="1"/>
    </xf>
    <xf numFmtId="0" fontId="62" fillId="0" borderId="25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textRotation="90" wrapText="1"/>
    </xf>
    <xf numFmtId="0" fontId="62" fillId="0" borderId="13" xfId="0" applyNumberFormat="1" applyFont="1" applyFill="1" applyBorder="1" applyAlignment="1">
      <alignment horizontal="center" vertical="center" textRotation="90" wrapText="1"/>
    </xf>
    <xf numFmtId="0" fontId="62" fillId="0" borderId="17" xfId="0" applyNumberFormat="1" applyFont="1" applyFill="1" applyBorder="1" applyAlignment="1">
      <alignment horizontal="center" vertical="center" textRotation="90" wrapText="1"/>
    </xf>
    <xf numFmtId="0" fontId="65" fillId="0" borderId="14" xfId="53" applyNumberFormat="1" applyFont="1" applyFill="1" applyBorder="1" applyAlignment="1">
      <alignment horizontal="center" vertical="center" textRotation="90" wrapText="1"/>
      <protection/>
    </xf>
    <xf numFmtId="0" fontId="65" fillId="0" borderId="13" xfId="53" applyNumberFormat="1" applyFont="1" applyFill="1" applyBorder="1" applyAlignment="1">
      <alignment horizontal="center" vertical="center" textRotation="90" wrapText="1"/>
      <protection/>
    </xf>
    <xf numFmtId="0" fontId="65" fillId="0" borderId="17" xfId="53" applyNumberFormat="1" applyFont="1" applyFill="1" applyBorder="1" applyAlignment="1">
      <alignment horizontal="center" vertical="center" textRotation="90" wrapText="1"/>
      <protection/>
    </xf>
    <xf numFmtId="0" fontId="62" fillId="0" borderId="14" xfId="52" applyFont="1" applyFill="1" applyBorder="1" applyAlignment="1">
      <alignment horizontal="center" vertical="center" textRotation="90" wrapText="1"/>
      <protection/>
    </xf>
    <xf numFmtId="0" fontId="62" fillId="0" borderId="13" xfId="52" applyFont="1" applyFill="1" applyBorder="1" applyAlignment="1">
      <alignment horizontal="center" vertical="center" textRotation="90" wrapText="1"/>
      <protection/>
    </xf>
    <xf numFmtId="0" fontId="62" fillId="0" borderId="17" xfId="52" applyFont="1" applyFill="1" applyBorder="1" applyAlignment="1">
      <alignment horizontal="center" vertical="center" textRotation="90" wrapText="1"/>
      <protection/>
    </xf>
    <xf numFmtId="0" fontId="65" fillId="0" borderId="11" xfId="53" applyNumberFormat="1" applyFont="1" applyFill="1" applyBorder="1" applyAlignment="1">
      <alignment horizontal="center" vertical="center" wrapText="1"/>
      <protection/>
    </xf>
    <xf numFmtId="0" fontId="65" fillId="0" borderId="19" xfId="53" applyNumberFormat="1" applyFont="1" applyFill="1" applyBorder="1" applyAlignment="1">
      <alignment horizontal="center" vertical="center" wrapText="1"/>
      <protection/>
    </xf>
    <xf numFmtId="0" fontId="65" fillId="0" borderId="18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XGF98" xfId="52"/>
    <cellStyle name="Обычный_ДГТ-Юля" xfId="53"/>
    <cellStyle name="Обычный_хар ООО К-н 2001г" xfId="54"/>
    <cellStyle name="Обычный_Характеристика РЭУ-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ГТ-Юля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201"/>
  <sheetViews>
    <sheetView tabSelected="1" zoomScale="90" zoomScaleNormal="90" zoomScalePageLayoutView="0" workbookViewId="0" topLeftCell="A1">
      <pane xSplit="3" ySplit="6" topLeftCell="CO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S62" sqref="CS62"/>
    </sheetView>
  </sheetViews>
  <sheetFormatPr defaultColWidth="9.16015625" defaultRowHeight="12.75" outlineLevelRow="1" outlineLevelCol="1"/>
  <cols>
    <col min="1" max="1" width="11.33203125" style="1" hidden="1" customWidth="1" outlineLevel="1"/>
    <col min="2" max="2" width="5.16015625" style="3" bestFit="1" customWidth="1" collapsed="1"/>
    <col min="3" max="3" width="34.16015625" style="1" customWidth="1"/>
    <col min="4" max="4" width="6.5" style="1" customWidth="1"/>
    <col min="5" max="5" width="8.33203125" style="1" hidden="1" customWidth="1"/>
    <col min="6" max="6" width="11.66015625" style="1" customWidth="1"/>
    <col min="7" max="7" width="5" style="1" customWidth="1"/>
    <col min="8" max="9" width="7" style="3" customWidth="1"/>
    <col min="10" max="10" width="11.5" style="1" customWidth="1" outlineLevel="1"/>
    <col min="11" max="11" width="10.16015625" style="1" customWidth="1" outlineLevel="1"/>
    <col min="12" max="12" width="18.5" style="1" customWidth="1" outlineLevel="1"/>
    <col min="13" max="13" width="10.33203125" style="1" customWidth="1" outlineLevel="1"/>
    <col min="14" max="14" width="8.83203125" style="1" customWidth="1" outlineLevel="1"/>
    <col min="15" max="16" width="8.33203125" style="1" customWidth="1"/>
    <col min="17" max="17" width="8.83203125" style="1" customWidth="1" outlineLevel="1"/>
    <col min="18" max="18" width="9.16015625" style="16" customWidth="1"/>
    <col min="19" max="20" width="11.66015625" style="11" customWidth="1"/>
    <col min="21" max="21" width="9.83203125" style="1" customWidth="1" outlineLevel="1"/>
    <col min="22" max="22" width="11.83203125" style="1" customWidth="1" outlineLevel="1"/>
    <col min="23" max="23" width="12.16015625" style="1" customWidth="1" outlineLevel="1"/>
    <col min="24" max="24" width="9" style="1" customWidth="1" outlineLevel="1"/>
    <col min="25" max="26" width="11.5" style="1" customWidth="1" outlineLevel="1"/>
    <col min="27" max="29" width="7.83203125" style="1" hidden="1" customWidth="1" outlineLevel="1"/>
    <col min="30" max="30" width="13.33203125" style="12" customWidth="1" collapsed="1"/>
    <col min="31" max="31" width="10.16015625" style="11" customWidth="1"/>
    <col min="32" max="32" width="10.33203125" style="1" customWidth="1"/>
    <col min="33" max="33" width="10" style="1" customWidth="1"/>
    <col min="34" max="34" width="11.83203125" style="1" customWidth="1"/>
    <col min="35" max="35" width="11.83203125" style="1" hidden="1" customWidth="1"/>
    <col min="36" max="36" width="12.83203125" style="1" customWidth="1"/>
    <col min="37" max="37" width="4.16015625" style="1" customWidth="1" outlineLevel="1"/>
    <col min="38" max="38" width="4.83203125" style="1" customWidth="1" outlineLevel="1"/>
    <col min="39" max="42" width="7" style="1" customWidth="1" outlineLevel="1"/>
    <col min="43" max="43" width="9.5" style="1" customWidth="1" outlineLevel="1"/>
    <col min="44" max="45" width="8.33203125" style="1" customWidth="1" outlineLevel="1"/>
    <col min="46" max="46" width="8.33203125" style="3" customWidth="1" outlineLevel="1"/>
    <col min="47" max="47" width="10" style="1" customWidth="1" outlineLevel="1"/>
    <col min="48" max="50" width="11.83203125" style="1" customWidth="1" outlineLevel="1"/>
    <col min="51" max="51" width="10" style="1" customWidth="1" outlineLevel="1"/>
    <col min="52" max="52" width="8.33203125" style="1" customWidth="1" outlineLevel="1"/>
    <col min="53" max="53" width="10.66015625" style="1" customWidth="1" outlineLevel="1"/>
    <col min="54" max="54" width="8.16015625" style="1" customWidth="1" outlineLevel="1"/>
    <col min="55" max="55" width="7.66015625" style="1" customWidth="1" outlineLevel="1"/>
    <col min="56" max="56" width="7.33203125" style="1" customWidth="1" outlineLevel="1"/>
    <col min="57" max="57" width="8.5" style="1" customWidth="1" outlineLevel="1"/>
    <col min="58" max="58" width="10" style="1" customWidth="1" outlineLevel="1"/>
    <col min="59" max="59" width="7" style="1" customWidth="1" outlineLevel="1"/>
    <col min="60" max="60" width="10.16015625" style="1" customWidth="1" outlineLevel="1"/>
    <col min="61" max="61" width="11" style="1" customWidth="1" outlineLevel="1"/>
    <col min="62" max="62" width="10.66015625" style="1" customWidth="1" outlineLevel="1"/>
    <col min="63" max="63" width="5.16015625" style="1" customWidth="1"/>
    <col min="64" max="64" width="10.5" style="1" customWidth="1"/>
    <col min="65" max="65" width="9.16015625" style="1" customWidth="1"/>
    <col min="66" max="66" width="4.66015625" style="1" customWidth="1"/>
    <col min="67" max="67" width="11.16015625" style="1" customWidth="1"/>
    <col min="68" max="68" width="9.16015625" style="1" customWidth="1"/>
    <col min="69" max="69" width="5.66015625" style="1" customWidth="1"/>
    <col min="70" max="71" width="9.16015625" style="1" customWidth="1"/>
    <col min="72" max="73" width="9" style="1" customWidth="1" outlineLevel="1"/>
    <col min="74" max="74" width="10.33203125" style="1" customWidth="1" outlineLevel="1"/>
    <col min="75" max="75" width="11.5" style="1" customWidth="1" outlineLevel="1"/>
    <col min="76" max="76" width="7.66015625" style="1" customWidth="1" outlineLevel="1"/>
    <col min="77" max="77" width="9.83203125" style="1" customWidth="1" outlineLevel="1"/>
    <col min="78" max="84" width="13" style="16" hidden="1" customWidth="1" outlineLevel="1"/>
    <col min="85" max="85" width="13" style="1" hidden="1" customWidth="1" outlineLevel="1"/>
    <col min="86" max="86" width="9.16015625" style="0" hidden="1" customWidth="1" outlineLevel="1"/>
    <col min="87" max="87" width="23.83203125" style="31" customWidth="1" collapsed="1"/>
    <col min="88" max="89" width="11.16015625" style="1" customWidth="1"/>
    <col min="90" max="90" width="9.16015625" style="1" customWidth="1"/>
    <col min="91" max="93" width="9.83203125" style="1" customWidth="1"/>
    <col min="94" max="94" width="8.33203125" style="1" customWidth="1"/>
    <col min="95" max="95" width="9.83203125" style="1" customWidth="1"/>
    <col min="96" max="96" width="9.16015625" style="1" customWidth="1"/>
    <col min="97" max="104" width="6.16015625" style="1" customWidth="1"/>
    <col min="105" max="105" width="9.16015625" style="1" customWidth="1"/>
    <col min="106" max="111" width="6.66015625" style="1" customWidth="1"/>
    <col min="112" max="112" width="9.16015625" style="16" customWidth="1"/>
    <col min="113" max="113" width="10.33203125" style="16" customWidth="1"/>
    <col min="114" max="114" width="11.5" style="32" customWidth="1"/>
    <col min="115" max="115" width="9.16015625" style="1" customWidth="1"/>
    <col min="116" max="16384" width="9.16015625" style="1" customWidth="1"/>
  </cols>
  <sheetData>
    <row r="1" spans="2:114" ht="15.75">
      <c r="B1" s="35"/>
      <c r="C1" s="36" t="s">
        <v>177</v>
      </c>
      <c r="D1" s="3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8"/>
      <c r="Q1" s="38"/>
      <c r="R1" s="38"/>
      <c r="S1" s="39"/>
      <c r="T1" s="39"/>
      <c r="U1" s="38"/>
      <c r="V1" s="38"/>
      <c r="W1" s="35"/>
      <c r="X1" s="40"/>
      <c r="Y1" s="40"/>
      <c r="Z1" s="40"/>
      <c r="AA1" s="40"/>
      <c r="AB1" s="40"/>
      <c r="AC1" s="40"/>
      <c r="AD1" s="37"/>
      <c r="AE1" s="39"/>
      <c r="AF1" s="38"/>
      <c r="AG1" s="38"/>
      <c r="AH1" s="38"/>
      <c r="AI1" s="38"/>
      <c r="AJ1" s="40"/>
      <c r="AK1" s="38"/>
      <c r="AL1" s="38"/>
      <c r="AM1" s="38"/>
      <c r="AN1" s="38"/>
      <c r="AO1" s="38"/>
      <c r="AP1" s="37"/>
      <c r="AQ1" s="37"/>
      <c r="AR1" s="37"/>
      <c r="AS1" s="37"/>
      <c r="AT1" s="41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42"/>
      <c r="CI1" s="43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44"/>
    </row>
    <row r="2" spans="1:114" ht="57.75" customHeight="1">
      <c r="A2" s="223" t="s">
        <v>68</v>
      </c>
      <c r="B2" s="226" t="s">
        <v>0</v>
      </c>
      <c r="C2" s="227" t="s">
        <v>4</v>
      </c>
      <c r="D2" s="208" t="s">
        <v>31</v>
      </c>
      <c r="E2" s="208" t="s">
        <v>32</v>
      </c>
      <c r="F2" s="208" t="s">
        <v>33</v>
      </c>
      <c r="G2" s="208" t="s">
        <v>34</v>
      </c>
      <c r="H2" s="228" t="s">
        <v>35</v>
      </c>
      <c r="I2" s="228" t="s">
        <v>36</v>
      </c>
      <c r="J2" s="208" t="s">
        <v>37</v>
      </c>
      <c r="K2" s="208" t="s">
        <v>38</v>
      </c>
      <c r="L2" s="192" t="s">
        <v>183</v>
      </c>
      <c r="M2" s="227" t="s">
        <v>2</v>
      </c>
      <c r="N2" s="227"/>
      <c r="O2" s="227" t="s">
        <v>3</v>
      </c>
      <c r="P2" s="227"/>
      <c r="Q2" s="227"/>
      <c r="R2" s="227"/>
      <c r="S2" s="212" t="s">
        <v>128</v>
      </c>
      <c r="T2" s="213"/>
      <c r="U2" s="213"/>
      <c r="V2" s="213"/>
      <c r="W2" s="213"/>
      <c r="X2" s="213"/>
      <c r="Y2" s="213"/>
      <c r="Z2" s="213"/>
      <c r="AA2" s="213"/>
      <c r="AB2" s="213"/>
      <c r="AC2" s="214"/>
      <c r="AD2" s="218" t="s">
        <v>129</v>
      </c>
      <c r="AE2" s="219"/>
      <c r="AF2" s="219"/>
      <c r="AG2" s="219"/>
      <c r="AH2" s="219"/>
      <c r="AI2" s="220"/>
      <c r="AJ2" s="227" t="s">
        <v>66</v>
      </c>
      <c r="AK2" s="209" t="s">
        <v>47</v>
      </c>
      <c r="AL2" s="209" t="s">
        <v>48</v>
      </c>
      <c r="AM2" s="209" t="s">
        <v>49</v>
      </c>
      <c r="AN2" s="209" t="s">
        <v>50</v>
      </c>
      <c r="AO2" s="209" t="s">
        <v>51</v>
      </c>
      <c r="AP2" s="209" t="s">
        <v>52</v>
      </c>
      <c r="AQ2" s="196" t="s">
        <v>243</v>
      </c>
      <c r="AR2" s="196" t="s">
        <v>244</v>
      </c>
      <c r="AS2" s="196" t="s">
        <v>53</v>
      </c>
      <c r="AT2" s="196" t="s">
        <v>245</v>
      </c>
      <c r="AU2" s="196" t="s">
        <v>54</v>
      </c>
      <c r="AV2" s="201" t="s">
        <v>130</v>
      </c>
      <c r="AW2" s="201"/>
      <c r="AX2" s="201"/>
      <c r="AY2" s="196" t="s">
        <v>55</v>
      </c>
      <c r="AZ2" s="196" t="s">
        <v>56</v>
      </c>
      <c r="BA2" s="196" t="s">
        <v>246</v>
      </c>
      <c r="BB2" s="196" t="s">
        <v>247</v>
      </c>
      <c r="BC2" s="196" t="s">
        <v>57</v>
      </c>
      <c r="BD2" s="196" t="s">
        <v>58</v>
      </c>
      <c r="BE2" s="196" t="s">
        <v>59</v>
      </c>
      <c r="BF2" s="196" t="s">
        <v>60</v>
      </c>
      <c r="BG2" s="196" t="s">
        <v>61</v>
      </c>
      <c r="BH2" s="232" t="s">
        <v>62</v>
      </c>
      <c r="BI2" s="233"/>
      <c r="BJ2" s="234"/>
      <c r="BK2" s="207" t="s">
        <v>19</v>
      </c>
      <c r="BL2" s="207"/>
      <c r="BM2" s="207"/>
      <c r="BN2" s="207" t="s">
        <v>21</v>
      </c>
      <c r="BO2" s="207"/>
      <c r="BP2" s="207"/>
      <c r="BQ2" s="207" t="s">
        <v>138</v>
      </c>
      <c r="BR2" s="207"/>
      <c r="BS2" s="207"/>
      <c r="BT2" s="206" t="s">
        <v>22</v>
      </c>
      <c r="BU2" s="206"/>
      <c r="BV2" s="242" t="s">
        <v>248</v>
      </c>
      <c r="BW2" s="242" t="s">
        <v>23</v>
      </c>
      <c r="BX2" s="242" t="s">
        <v>24</v>
      </c>
      <c r="BY2" s="192" t="s">
        <v>249</v>
      </c>
      <c r="BZ2" s="251" t="s">
        <v>178</v>
      </c>
      <c r="CA2" s="252"/>
      <c r="CB2" s="252"/>
      <c r="CC2" s="252"/>
      <c r="CD2" s="252"/>
      <c r="CE2" s="252"/>
      <c r="CF2" s="252"/>
      <c r="CG2" s="252"/>
      <c r="CH2" s="252"/>
      <c r="CI2" s="253"/>
      <c r="CJ2" s="245" t="s">
        <v>250</v>
      </c>
      <c r="CK2" s="248" t="s">
        <v>251</v>
      </c>
      <c r="CL2" s="201" t="s">
        <v>252</v>
      </c>
      <c r="CM2" s="201"/>
      <c r="CN2" s="201" t="s">
        <v>253</v>
      </c>
      <c r="CO2" s="201"/>
      <c r="CP2" s="201" t="s">
        <v>45</v>
      </c>
      <c r="CQ2" s="241"/>
      <c r="CR2" s="231" t="s">
        <v>254</v>
      </c>
      <c r="CS2" s="227" t="s">
        <v>173</v>
      </c>
      <c r="CT2" s="227"/>
      <c r="CU2" s="227"/>
      <c r="CV2" s="227"/>
      <c r="CW2" s="227" t="s">
        <v>172</v>
      </c>
      <c r="CX2" s="227"/>
      <c r="CY2" s="227"/>
      <c r="CZ2" s="227"/>
      <c r="DA2" s="208" t="s">
        <v>174</v>
      </c>
      <c r="DB2" s="227" t="s">
        <v>167</v>
      </c>
      <c r="DC2" s="227"/>
      <c r="DD2" s="227"/>
      <c r="DE2" s="227"/>
      <c r="DF2" s="227"/>
      <c r="DG2" s="227"/>
      <c r="DH2" s="193" t="s">
        <v>179</v>
      </c>
      <c r="DI2" s="193"/>
      <c r="DJ2" s="193"/>
    </row>
    <row r="3" spans="1:114" ht="27" customHeight="1">
      <c r="A3" s="224"/>
      <c r="B3" s="226"/>
      <c r="C3" s="227"/>
      <c r="D3" s="208"/>
      <c r="E3" s="208"/>
      <c r="F3" s="208"/>
      <c r="G3" s="208"/>
      <c r="H3" s="228"/>
      <c r="I3" s="228"/>
      <c r="J3" s="208"/>
      <c r="K3" s="208"/>
      <c r="L3" s="192"/>
      <c r="M3" s="208" t="s">
        <v>39</v>
      </c>
      <c r="N3" s="208" t="s">
        <v>40</v>
      </c>
      <c r="O3" s="208" t="s">
        <v>41</v>
      </c>
      <c r="P3" s="208" t="s">
        <v>42</v>
      </c>
      <c r="Q3" s="208" t="s">
        <v>65</v>
      </c>
      <c r="R3" s="192" t="s">
        <v>43</v>
      </c>
      <c r="S3" s="229" t="s">
        <v>45</v>
      </c>
      <c r="T3" s="230"/>
      <c r="U3" s="201" t="s">
        <v>126</v>
      </c>
      <c r="V3" s="201"/>
      <c r="W3" s="201"/>
      <c r="X3" s="201" t="s">
        <v>127</v>
      </c>
      <c r="Y3" s="201"/>
      <c r="Z3" s="201"/>
      <c r="AA3" s="201" t="s">
        <v>165</v>
      </c>
      <c r="AB3" s="201"/>
      <c r="AC3" s="201"/>
      <c r="AD3" s="201" t="s">
        <v>166</v>
      </c>
      <c r="AE3" s="221" t="s">
        <v>127</v>
      </c>
      <c r="AF3" s="221"/>
      <c r="AG3" s="221"/>
      <c r="AH3" s="206" t="s">
        <v>126</v>
      </c>
      <c r="AI3" s="206" t="s">
        <v>165</v>
      </c>
      <c r="AJ3" s="227"/>
      <c r="AK3" s="210"/>
      <c r="AL3" s="210"/>
      <c r="AM3" s="210"/>
      <c r="AN3" s="210"/>
      <c r="AO3" s="210"/>
      <c r="AP3" s="210"/>
      <c r="AQ3" s="197"/>
      <c r="AR3" s="197"/>
      <c r="AS3" s="197"/>
      <c r="AT3" s="197"/>
      <c r="AU3" s="197"/>
      <c r="AV3" s="199" t="s">
        <v>1</v>
      </c>
      <c r="AW3" s="203" t="s">
        <v>63</v>
      </c>
      <c r="AX3" s="204"/>
      <c r="AY3" s="197"/>
      <c r="AZ3" s="197"/>
      <c r="BA3" s="197"/>
      <c r="BB3" s="197"/>
      <c r="BC3" s="197"/>
      <c r="BD3" s="197"/>
      <c r="BE3" s="197"/>
      <c r="BF3" s="197"/>
      <c r="BG3" s="197"/>
      <c r="BH3" s="235"/>
      <c r="BI3" s="236"/>
      <c r="BJ3" s="237"/>
      <c r="BK3" s="205" t="s">
        <v>20</v>
      </c>
      <c r="BL3" s="206" t="s">
        <v>255</v>
      </c>
      <c r="BM3" s="206" t="s">
        <v>256</v>
      </c>
      <c r="BN3" s="205" t="s">
        <v>20</v>
      </c>
      <c r="BO3" s="206" t="s">
        <v>255</v>
      </c>
      <c r="BP3" s="206" t="s">
        <v>256</v>
      </c>
      <c r="BQ3" s="205" t="s">
        <v>20</v>
      </c>
      <c r="BR3" s="206" t="s">
        <v>255</v>
      </c>
      <c r="BS3" s="206" t="s">
        <v>256</v>
      </c>
      <c r="BT3" s="206"/>
      <c r="BU3" s="206"/>
      <c r="BV3" s="243"/>
      <c r="BW3" s="243"/>
      <c r="BX3" s="243"/>
      <c r="BY3" s="192"/>
      <c r="BZ3" s="194" t="s">
        <v>150</v>
      </c>
      <c r="CA3" s="194" t="s">
        <v>151</v>
      </c>
      <c r="CB3" s="194" t="s">
        <v>152</v>
      </c>
      <c r="CC3" s="194" t="s">
        <v>153</v>
      </c>
      <c r="CD3" s="194" t="s">
        <v>154</v>
      </c>
      <c r="CE3" s="194" t="s">
        <v>155</v>
      </c>
      <c r="CF3" s="194" t="s">
        <v>156</v>
      </c>
      <c r="CG3" s="194" t="s">
        <v>157</v>
      </c>
      <c r="CH3" s="194" t="s">
        <v>158</v>
      </c>
      <c r="CI3" s="195" t="s">
        <v>159</v>
      </c>
      <c r="CJ3" s="246"/>
      <c r="CK3" s="249"/>
      <c r="CL3" s="201"/>
      <c r="CM3" s="201"/>
      <c r="CN3" s="201"/>
      <c r="CO3" s="201"/>
      <c r="CP3" s="201"/>
      <c r="CQ3" s="241"/>
      <c r="CR3" s="231"/>
      <c r="CS3" s="227"/>
      <c r="CT3" s="227"/>
      <c r="CU3" s="227"/>
      <c r="CV3" s="227"/>
      <c r="CW3" s="227"/>
      <c r="CX3" s="227"/>
      <c r="CY3" s="227"/>
      <c r="CZ3" s="227"/>
      <c r="DA3" s="208"/>
      <c r="DB3" s="227" t="s">
        <v>175</v>
      </c>
      <c r="DC3" s="227"/>
      <c r="DD3" s="227"/>
      <c r="DE3" s="227" t="s">
        <v>176</v>
      </c>
      <c r="DF3" s="227"/>
      <c r="DG3" s="227"/>
      <c r="DH3" s="193"/>
      <c r="DI3" s="193"/>
      <c r="DJ3" s="193"/>
    </row>
    <row r="4" spans="1:114" ht="12.75" customHeight="1">
      <c r="A4" s="224"/>
      <c r="B4" s="226"/>
      <c r="C4" s="227"/>
      <c r="D4" s="208"/>
      <c r="E4" s="208"/>
      <c r="F4" s="208"/>
      <c r="G4" s="208"/>
      <c r="H4" s="228"/>
      <c r="I4" s="228"/>
      <c r="J4" s="208"/>
      <c r="K4" s="208"/>
      <c r="L4" s="192"/>
      <c r="M4" s="208"/>
      <c r="N4" s="208"/>
      <c r="O4" s="208"/>
      <c r="P4" s="208"/>
      <c r="Q4" s="208"/>
      <c r="R4" s="192"/>
      <c r="S4" s="217" t="s">
        <v>46</v>
      </c>
      <c r="T4" s="217"/>
      <c r="U4" s="215" t="s">
        <v>41</v>
      </c>
      <c r="V4" s="217" t="s">
        <v>46</v>
      </c>
      <c r="W4" s="217"/>
      <c r="X4" s="215" t="s">
        <v>41</v>
      </c>
      <c r="Y4" s="217" t="s">
        <v>46</v>
      </c>
      <c r="Z4" s="217"/>
      <c r="AA4" s="215" t="s">
        <v>41</v>
      </c>
      <c r="AB4" s="217" t="s">
        <v>46</v>
      </c>
      <c r="AC4" s="217"/>
      <c r="AD4" s="201"/>
      <c r="AE4" s="222" t="s">
        <v>45</v>
      </c>
      <c r="AF4" s="222" t="s">
        <v>162</v>
      </c>
      <c r="AG4" s="222"/>
      <c r="AH4" s="206"/>
      <c r="AI4" s="206"/>
      <c r="AJ4" s="227"/>
      <c r="AK4" s="210"/>
      <c r="AL4" s="210"/>
      <c r="AM4" s="210"/>
      <c r="AN4" s="210"/>
      <c r="AO4" s="210"/>
      <c r="AP4" s="210"/>
      <c r="AQ4" s="197"/>
      <c r="AR4" s="197"/>
      <c r="AS4" s="197"/>
      <c r="AT4" s="197"/>
      <c r="AU4" s="197"/>
      <c r="AV4" s="202"/>
      <c r="AW4" s="199" t="s">
        <v>8</v>
      </c>
      <c r="AX4" s="199" t="s">
        <v>9</v>
      </c>
      <c r="AY4" s="197"/>
      <c r="AZ4" s="197"/>
      <c r="BA4" s="197"/>
      <c r="BB4" s="197"/>
      <c r="BC4" s="197"/>
      <c r="BD4" s="197"/>
      <c r="BE4" s="197"/>
      <c r="BF4" s="197"/>
      <c r="BG4" s="197"/>
      <c r="BH4" s="238"/>
      <c r="BI4" s="239"/>
      <c r="BJ4" s="240"/>
      <c r="BK4" s="205"/>
      <c r="BL4" s="206"/>
      <c r="BM4" s="206"/>
      <c r="BN4" s="205"/>
      <c r="BO4" s="206"/>
      <c r="BP4" s="206"/>
      <c r="BQ4" s="205"/>
      <c r="BR4" s="206"/>
      <c r="BS4" s="206"/>
      <c r="BT4" s="45" t="s">
        <v>25</v>
      </c>
      <c r="BU4" s="45" t="s">
        <v>26</v>
      </c>
      <c r="BV4" s="243"/>
      <c r="BW4" s="243"/>
      <c r="BX4" s="243"/>
      <c r="BY4" s="192"/>
      <c r="BZ4" s="194"/>
      <c r="CA4" s="194"/>
      <c r="CB4" s="194"/>
      <c r="CC4" s="194"/>
      <c r="CD4" s="194"/>
      <c r="CE4" s="194"/>
      <c r="CF4" s="194"/>
      <c r="CG4" s="194"/>
      <c r="CH4" s="194"/>
      <c r="CI4" s="195"/>
      <c r="CJ4" s="246"/>
      <c r="CK4" s="249"/>
      <c r="CL4" s="201"/>
      <c r="CM4" s="201"/>
      <c r="CN4" s="201"/>
      <c r="CO4" s="201"/>
      <c r="CP4" s="201"/>
      <c r="CQ4" s="241"/>
      <c r="CR4" s="231"/>
      <c r="CS4" s="208" t="s">
        <v>168</v>
      </c>
      <c r="CT4" s="208" t="s">
        <v>169</v>
      </c>
      <c r="CU4" s="208" t="s">
        <v>170</v>
      </c>
      <c r="CV4" s="208" t="s">
        <v>171</v>
      </c>
      <c r="CW4" s="208" t="s">
        <v>168</v>
      </c>
      <c r="CX4" s="208" t="s">
        <v>169</v>
      </c>
      <c r="CY4" s="208" t="s">
        <v>170</v>
      </c>
      <c r="CZ4" s="208" t="s">
        <v>171</v>
      </c>
      <c r="DA4" s="208"/>
      <c r="DB4" s="208" t="s">
        <v>168</v>
      </c>
      <c r="DC4" s="208" t="s">
        <v>170</v>
      </c>
      <c r="DD4" s="208" t="s">
        <v>171</v>
      </c>
      <c r="DE4" s="208" t="s">
        <v>168</v>
      </c>
      <c r="DF4" s="208" t="s">
        <v>170</v>
      </c>
      <c r="DG4" s="208" t="s">
        <v>171</v>
      </c>
      <c r="DH4" s="193"/>
      <c r="DI4" s="193"/>
      <c r="DJ4" s="193"/>
    </row>
    <row r="5" spans="1:114" ht="63.75" customHeight="1">
      <c r="A5" s="225"/>
      <c r="B5" s="226"/>
      <c r="C5" s="227"/>
      <c r="D5" s="208"/>
      <c r="E5" s="208"/>
      <c r="F5" s="208"/>
      <c r="G5" s="208"/>
      <c r="H5" s="228"/>
      <c r="I5" s="228"/>
      <c r="J5" s="208"/>
      <c r="K5" s="208"/>
      <c r="L5" s="192"/>
      <c r="M5" s="208"/>
      <c r="N5" s="208"/>
      <c r="O5" s="208"/>
      <c r="P5" s="208"/>
      <c r="Q5" s="208"/>
      <c r="R5" s="192"/>
      <c r="S5" s="46" t="s">
        <v>44</v>
      </c>
      <c r="T5" s="46" t="s">
        <v>5</v>
      </c>
      <c r="U5" s="216"/>
      <c r="V5" s="47" t="s">
        <v>44</v>
      </c>
      <c r="W5" s="47" t="s">
        <v>5</v>
      </c>
      <c r="X5" s="216"/>
      <c r="Y5" s="47" t="s">
        <v>44</v>
      </c>
      <c r="Z5" s="47" t="s">
        <v>5</v>
      </c>
      <c r="AA5" s="216"/>
      <c r="AB5" s="47" t="s">
        <v>44</v>
      </c>
      <c r="AC5" s="47" t="s">
        <v>5</v>
      </c>
      <c r="AD5" s="201"/>
      <c r="AE5" s="222"/>
      <c r="AF5" s="48" t="s">
        <v>163</v>
      </c>
      <c r="AG5" s="49" t="s">
        <v>164</v>
      </c>
      <c r="AH5" s="206"/>
      <c r="AI5" s="206"/>
      <c r="AJ5" s="227"/>
      <c r="AK5" s="211"/>
      <c r="AL5" s="211"/>
      <c r="AM5" s="211"/>
      <c r="AN5" s="211"/>
      <c r="AO5" s="211"/>
      <c r="AP5" s="211"/>
      <c r="AQ5" s="198"/>
      <c r="AR5" s="198"/>
      <c r="AS5" s="198"/>
      <c r="AT5" s="198"/>
      <c r="AU5" s="198"/>
      <c r="AV5" s="200"/>
      <c r="AW5" s="200"/>
      <c r="AX5" s="200"/>
      <c r="AY5" s="198"/>
      <c r="AZ5" s="198"/>
      <c r="BA5" s="198"/>
      <c r="BB5" s="198"/>
      <c r="BC5" s="198"/>
      <c r="BD5" s="198"/>
      <c r="BE5" s="198"/>
      <c r="BF5" s="198"/>
      <c r="BG5" s="198"/>
      <c r="BH5" s="50" t="s">
        <v>64</v>
      </c>
      <c r="BI5" s="50" t="s">
        <v>6</v>
      </c>
      <c r="BJ5" s="51" t="s">
        <v>7</v>
      </c>
      <c r="BK5" s="205"/>
      <c r="BL5" s="206"/>
      <c r="BM5" s="206"/>
      <c r="BN5" s="205"/>
      <c r="BO5" s="206"/>
      <c r="BP5" s="206"/>
      <c r="BQ5" s="205"/>
      <c r="BR5" s="206"/>
      <c r="BS5" s="206"/>
      <c r="BT5" s="52"/>
      <c r="BU5" s="52"/>
      <c r="BV5" s="244"/>
      <c r="BW5" s="244"/>
      <c r="BX5" s="244"/>
      <c r="BY5" s="192"/>
      <c r="BZ5" s="194"/>
      <c r="CA5" s="194"/>
      <c r="CB5" s="194"/>
      <c r="CC5" s="194"/>
      <c r="CD5" s="194"/>
      <c r="CE5" s="194"/>
      <c r="CF5" s="194"/>
      <c r="CG5" s="194"/>
      <c r="CH5" s="194"/>
      <c r="CI5" s="195"/>
      <c r="CJ5" s="247"/>
      <c r="CK5" s="250"/>
      <c r="CL5" s="53" t="s">
        <v>160</v>
      </c>
      <c r="CM5" s="53" t="s">
        <v>161</v>
      </c>
      <c r="CN5" s="53" t="s">
        <v>160</v>
      </c>
      <c r="CO5" s="53" t="s">
        <v>161</v>
      </c>
      <c r="CP5" s="53" t="s">
        <v>160</v>
      </c>
      <c r="CQ5" s="54" t="s">
        <v>161</v>
      </c>
      <c r="CR5" s="231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55" t="s">
        <v>160</v>
      </c>
      <c r="DI5" s="55" t="s">
        <v>180</v>
      </c>
      <c r="DJ5" s="56" t="s">
        <v>181</v>
      </c>
    </row>
    <row r="6" spans="1:114" ht="12.75">
      <c r="A6" s="21"/>
      <c r="B6" s="57"/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  <c r="K6" s="57">
        <v>9</v>
      </c>
      <c r="L6" s="58" t="s">
        <v>182</v>
      </c>
      <c r="M6" s="57">
        <v>10</v>
      </c>
      <c r="N6" s="57">
        <v>11</v>
      </c>
      <c r="O6" s="57">
        <v>12</v>
      </c>
      <c r="P6" s="57">
        <v>13</v>
      </c>
      <c r="Q6" s="57">
        <v>14</v>
      </c>
      <c r="R6" s="57">
        <v>15</v>
      </c>
      <c r="S6" s="57">
        <v>16</v>
      </c>
      <c r="T6" s="57">
        <v>17</v>
      </c>
      <c r="U6" s="57">
        <v>18</v>
      </c>
      <c r="V6" s="57">
        <v>19</v>
      </c>
      <c r="W6" s="57">
        <v>20</v>
      </c>
      <c r="X6" s="57">
        <v>21</v>
      </c>
      <c r="Y6" s="57">
        <v>22</v>
      </c>
      <c r="Z6" s="57">
        <v>23</v>
      </c>
      <c r="AA6" s="57">
        <v>24</v>
      </c>
      <c r="AB6" s="57">
        <v>25</v>
      </c>
      <c r="AC6" s="57">
        <v>26</v>
      </c>
      <c r="AD6" s="57">
        <v>27</v>
      </c>
      <c r="AE6" s="57">
        <v>28</v>
      </c>
      <c r="AF6" s="57">
        <v>29</v>
      </c>
      <c r="AG6" s="57">
        <v>30</v>
      </c>
      <c r="AH6" s="57">
        <v>31</v>
      </c>
      <c r="AI6" s="57">
        <v>32</v>
      </c>
      <c r="AJ6" s="57">
        <v>33</v>
      </c>
      <c r="AK6" s="57">
        <v>34</v>
      </c>
      <c r="AL6" s="57">
        <v>35</v>
      </c>
      <c r="AM6" s="57">
        <v>36</v>
      </c>
      <c r="AN6" s="57">
        <v>37</v>
      </c>
      <c r="AO6" s="57">
        <v>38</v>
      </c>
      <c r="AP6" s="57">
        <v>39</v>
      </c>
      <c r="AQ6" s="57">
        <v>40</v>
      </c>
      <c r="AR6" s="57">
        <v>41</v>
      </c>
      <c r="AS6" s="57">
        <v>42</v>
      </c>
      <c r="AT6" s="57">
        <v>43</v>
      </c>
      <c r="AU6" s="57">
        <v>44</v>
      </c>
      <c r="AV6" s="57">
        <v>45</v>
      </c>
      <c r="AW6" s="57">
        <v>46</v>
      </c>
      <c r="AX6" s="57">
        <v>47</v>
      </c>
      <c r="AY6" s="57">
        <v>48</v>
      </c>
      <c r="AZ6" s="57">
        <v>49</v>
      </c>
      <c r="BA6" s="57">
        <v>50</v>
      </c>
      <c r="BB6" s="57">
        <v>51</v>
      </c>
      <c r="BC6" s="57">
        <v>52</v>
      </c>
      <c r="BD6" s="57">
        <v>53</v>
      </c>
      <c r="BE6" s="57">
        <v>54</v>
      </c>
      <c r="BF6" s="57">
        <v>55</v>
      </c>
      <c r="BG6" s="57">
        <v>56</v>
      </c>
      <c r="BH6" s="57">
        <v>57</v>
      </c>
      <c r="BI6" s="57">
        <v>58</v>
      </c>
      <c r="BJ6" s="57">
        <v>59</v>
      </c>
      <c r="BK6" s="57">
        <v>60</v>
      </c>
      <c r="BL6" s="57">
        <v>61</v>
      </c>
      <c r="BM6" s="57">
        <v>62</v>
      </c>
      <c r="BN6" s="57">
        <v>63</v>
      </c>
      <c r="BO6" s="57">
        <v>64</v>
      </c>
      <c r="BP6" s="57">
        <v>65</v>
      </c>
      <c r="BQ6" s="57">
        <v>66</v>
      </c>
      <c r="BR6" s="57">
        <v>67</v>
      </c>
      <c r="BS6" s="57">
        <v>68</v>
      </c>
      <c r="BT6" s="57">
        <v>69</v>
      </c>
      <c r="BU6" s="57">
        <v>70</v>
      </c>
      <c r="BV6" s="57">
        <v>71</v>
      </c>
      <c r="BW6" s="57">
        <v>72</v>
      </c>
      <c r="BX6" s="57">
        <v>73</v>
      </c>
      <c r="BY6" s="57">
        <v>74</v>
      </c>
      <c r="BZ6" s="57">
        <v>75</v>
      </c>
      <c r="CA6" s="57">
        <v>76</v>
      </c>
      <c r="CB6" s="57">
        <v>77</v>
      </c>
      <c r="CC6" s="57">
        <v>78</v>
      </c>
      <c r="CD6" s="57">
        <v>79</v>
      </c>
      <c r="CE6" s="57">
        <v>80</v>
      </c>
      <c r="CF6" s="57">
        <v>81</v>
      </c>
      <c r="CG6" s="57">
        <v>82</v>
      </c>
      <c r="CH6" s="57">
        <v>83</v>
      </c>
      <c r="CI6" s="57">
        <v>84</v>
      </c>
      <c r="CJ6" s="57">
        <v>85</v>
      </c>
      <c r="CK6" s="57">
        <v>86</v>
      </c>
      <c r="CL6" s="57">
        <v>87</v>
      </c>
      <c r="CM6" s="57">
        <v>88</v>
      </c>
      <c r="CN6" s="57">
        <v>89</v>
      </c>
      <c r="CO6" s="57">
        <v>90</v>
      </c>
      <c r="CP6" s="57">
        <v>91</v>
      </c>
      <c r="CQ6" s="57">
        <v>92</v>
      </c>
      <c r="CR6" s="57">
        <v>93</v>
      </c>
      <c r="CS6" s="57">
        <v>94</v>
      </c>
      <c r="CT6" s="57">
        <v>95</v>
      </c>
      <c r="CU6" s="57">
        <v>96</v>
      </c>
      <c r="CV6" s="57">
        <v>97</v>
      </c>
      <c r="CW6" s="57">
        <v>98</v>
      </c>
      <c r="CX6" s="57">
        <v>99</v>
      </c>
      <c r="CY6" s="57">
        <v>100</v>
      </c>
      <c r="CZ6" s="57">
        <v>101</v>
      </c>
      <c r="DA6" s="57">
        <v>102</v>
      </c>
      <c r="DB6" s="57">
        <v>103</v>
      </c>
      <c r="DC6" s="57">
        <v>104</v>
      </c>
      <c r="DD6" s="57">
        <v>105</v>
      </c>
      <c r="DE6" s="57">
        <v>106</v>
      </c>
      <c r="DF6" s="57">
        <v>107</v>
      </c>
      <c r="DG6" s="57">
        <v>108</v>
      </c>
      <c r="DH6" s="52"/>
      <c r="DI6" s="52"/>
      <c r="DJ6" s="59"/>
    </row>
    <row r="7" spans="1:114" s="6" customFormat="1" ht="15">
      <c r="A7" s="5" t="s">
        <v>106</v>
      </c>
      <c r="B7" s="60">
        <v>1</v>
      </c>
      <c r="C7" s="61" t="s">
        <v>137</v>
      </c>
      <c r="D7" s="62">
        <v>1951</v>
      </c>
      <c r="E7" s="63" t="s">
        <v>67</v>
      </c>
      <c r="F7" s="63" t="s">
        <v>29</v>
      </c>
      <c r="G7" s="64">
        <v>1</v>
      </c>
      <c r="H7" s="63">
        <v>4</v>
      </c>
      <c r="I7" s="63" t="s">
        <v>125</v>
      </c>
      <c r="J7" s="65">
        <v>73573</v>
      </c>
      <c r="K7" s="65">
        <v>3735</v>
      </c>
      <c r="L7" s="65" t="s">
        <v>184</v>
      </c>
      <c r="M7" s="65">
        <v>4498</v>
      </c>
      <c r="N7" s="65">
        <v>0</v>
      </c>
      <c r="O7" s="65">
        <v>86</v>
      </c>
      <c r="P7" s="65">
        <v>256</v>
      </c>
      <c r="Q7" s="65">
        <v>88</v>
      </c>
      <c r="R7" s="66">
        <v>164</v>
      </c>
      <c r="S7" s="67">
        <v>7626.33</v>
      </c>
      <c r="T7" s="68">
        <v>4813.1</v>
      </c>
      <c r="U7" s="69">
        <v>73</v>
      </c>
      <c r="V7" s="70">
        <v>6518.5</v>
      </c>
      <c r="W7" s="70">
        <v>4105.99</v>
      </c>
      <c r="X7" s="71">
        <f>O7-U7-AA7</f>
        <v>13</v>
      </c>
      <c r="Y7" s="72">
        <f>S7-V7-AB7</f>
        <v>1107.83</v>
      </c>
      <c r="Z7" s="72">
        <f>T7-W7-AC7</f>
        <v>707.1100000000006</v>
      </c>
      <c r="AA7" s="72"/>
      <c r="AB7" s="72"/>
      <c r="AC7" s="72"/>
      <c r="AD7" s="72">
        <f>AE7+AH7+AI7</f>
        <v>5049.5</v>
      </c>
      <c r="AE7" s="68">
        <f>AF7+AG7</f>
        <v>4654.9</v>
      </c>
      <c r="AF7" s="73"/>
      <c r="AG7" s="68">
        <v>4654.9</v>
      </c>
      <c r="AH7" s="73">
        <v>394.6</v>
      </c>
      <c r="AI7" s="73"/>
      <c r="AJ7" s="73">
        <f>S7+AD7</f>
        <v>12675.83</v>
      </c>
      <c r="AK7" s="65"/>
      <c r="AL7" s="65"/>
      <c r="AM7" s="65">
        <v>5</v>
      </c>
      <c r="AN7" s="65"/>
      <c r="AO7" s="65"/>
      <c r="AP7" s="65">
        <v>2</v>
      </c>
      <c r="AQ7" s="65">
        <v>9516</v>
      </c>
      <c r="AR7" s="65">
        <v>2752</v>
      </c>
      <c r="AS7" s="65">
        <v>735</v>
      </c>
      <c r="AT7" s="65">
        <v>540</v>
      </c>
      <c r="AU7" s="65">
        <v>210</v>
      </c>
      <c r="AV7" s="65">
        <f>SUM(AW7+AX7)</f>
        <v>4225</v>
      </c>
      <c r="AW7" s="65"/>
      <c r="AX7" s="65">
        <v>4225</v>
      </c>
      <c r="AY7" s="65"/>
      <c r="AZ7" s="65">
        <v>247</v>
      </c>
      <c r="BA7" s="65">
        <v>3724</v>
      </c>
      <c r="BB7" s="65">
        <v>3724</v>
      </c>
      <c r="BC7" s="65">
        <v>25</v>
      </c>
      <c r="BD7" s="65">
        <v>10</v>
      </c>
      <c r="BE7" s="65">
        <v>346</v>
      </c>
      <c r="BF7" s="65">
        <v>863</v>
      </c>
      <c r="BG7" s="65"/>
      <c r="BH7" s="65">
        <v>7238</v>
      </c>
      <c r="BI7" s="65">
        <v>190</v>
      </c>
      <c r="BJ7" s="65"/>
      <c r="BK7" s="65">
        <f>G7</f>
        <v>1</v>
      </c>
      <c r="BL7" s="65">
        <f>S7</f>
        <v>7626.33</v>
      </c>
      <c r="BM7" s="65">
        <f>T7</f>
        <v>4813.1</v>
      </c>
      <c r="BN7" s="65"/>
      <c r="BO7" s="65"/>
      <c r="BP7" s="65"/>
      <c r="BQ7" s="65"/>
      <c r="BR7" s="65"/>
      <c r="BS7" s="65"/>
      <c r="BT7" s="65"/>
      <c r="BU7" s="65">
        <v>4</v>
      </c>
      <c r="BV7" s="65">
        <f>BB7</f>
        <v>3724</v>
      </c>
      <c r="BW7" s="65">
        <v>5820</v>
      </c>
      <c r="BX7" s="65"/>
      <c r="BY7" s="65">
        <f>AQ7</f>
        <v>9516</v>
      </c>
      <c r="BZ7" s="74"/>
      <c r="CA7" s="74"/>
      <c r="CB7" s="74"/>
      <c r="CC7" s="74"/>
      <c r="CD7" s="74"/>
      <c r="CE7" s="74"/>
      <c r="CF7" s="74"/>
      <c r="CG7" s="75"/>
      <c r="CH7" s="76"/>
      <c r="CI7" s="77">
        <v>803.2</v>
      </c>
      <c r="CJ7" s="78">
        <v>6860</v>
      </c>
      <c r="CK7" s="78">
        <f aca="true" t="shared" si="0" ref="CK7:CK38">CJ7-K7</f>
        <v>3125</v>
      </c>
      <c r="CL7" s="79" t="str">
        <f aca="true" t="shared" si="1" ref="CL7:CL22">IF(CM7&gt;0,G7,"0")</f>
        <v>0</v>
      </c>
      <c r="CM7" s="80">
        <f aca="true" t="shared" si="2" ref="CM7:CM38">AW7</f>
        <v>0</v>
      </c>
      <c r="CN7" s="79">
        <f aca="true" t="shared" si="3" ref="CN7:CN38">IF(CO7&gt;0,G7,"0")</f>
        <v>1</v>
      </c>
      <c r="CO7" s="80">
        <f aca="true" t="shared" si="4" ref="CO7:CO38">AX7</f>
        <v>4225</v>
      </c>
      <c r="CP7" s="80">
        <f>CL7+CN7</f>
        <v>1</v>
      </c>
      <c r="CQ7" s="80">
        <f>CM7+CO7</f>
        <v>4225</v>
      </c>
      <c r="CR7" s="81">
        <v>41</v>
      </c>
      <c r="CS7" s="33">
        <v>1</v>
      </c>
      <c r="CT7" s="33">
        <v>0</v>
      </c>
      <c r="CU7" s="33">
        <v>0</v>
      </c>
      <c r="CV7" s="33">
        <v>0</v>
      </c>
      <c r="CW7" s="33">
        <v>3</v>
      </c>
      <c r="CX7" s="33">
        <v>0</v>
      </c>
      <c r="CY7" s="33">
        <v>0</v>
      </c>
      <c r="CZ7" s="33">
        <v>0</v>
      </c>
      <c r="DA7" s="33">
        <v>0</v>
      </c>
      <c r="DB7" s="33">
        <v>18</v>
      </c>
      <c r="DC7" s="33">
        <v>18</v>
      </c>
      <c r="DD7" s="33">
        <v>18</v>
      </c>
      <c r="DE7" s="33">
        <v>5</v>
      </c>
      <c r="DF7" s="33">
        <v>2</v>
      </c>
      <c r="DG7" s="33">
        <v>2</v>
      </c>
      <c r="DH7" s="82" t="str">
        <f>IF(AND(Y7/S7*100&gt;=50),G7,"0")</f>
        <v>0</v>
      </c>
      <c r="DI7" s="82" t="str">
        <f>IF(AND(Y7/S7*100&gt;=50),S7,"0")</f>
        <v>0</v>
      </c>
      <c r="DJ7" s="83">
        <f aca="true" t="shared" si="5" ref="DJ7:DJ65">Y7/S7*100</f>
        <v>14.526384250353708</v>
      </c>
    </row>
    <row r="8" spans="1:114" s="6" customFormat="1" ht="15">
      <c r="A8" s="5" t="s">
        <v>106</v>
      </c>
      <c r="B8" s="60">
        <v>2</v>
      </c>
      <c r="C8" s="61" t="s">
        <v>30</v>
      </c>
      <c r="D8" s="62">
        <v>1993</v>
      </c>
      <c r="E8" s="63" t="s">
        <v>67</v>
      </c>
      <c r="F8" s="63" t="s">
        <v>28</v>
      </c>
      <c r="G8" s="64">
        <v>1</v>
      </c>
      <c r="H8" s="63">
        <v>9</v>
      </c>
      <c r="I8" s="63" t="s">
        <v>124</v>
      </c>
      <c r="J8" s="65">
        <v>29497</v>
      </c>
      <c r="K8" s="65">
        <v>1170</v>
      </c>
      <c r="L8" s="65" t="s">
        <v>185</v>
      </c>
      <c r="M8" s="65"/>
      <c r="N8" s="65">
        <v>1181</v>
      </c>
      <c r="O8" s="65">
        <v>101</v>
      </c>
      <c r="P8" s="65">
        <v>277</v>
      </c>
      <c r="Q8" s="65">
        <v>104</v>
      </c>
      <c r="R8" s="84">
        <v>263</v>
      </c>
      <c r="S8" s="67">
        <v>6588.2</v>
      </c>
      <c r="T8" s="68">
        <v>4098.7</v>
      </c>
      <c r="U8" s="85">
        <v>97</v>
      </c>
      <c r="V8" s="65">
        <v>6300.199999999999</v>
      </c>
      <c r="W8" s="65">
        <v>3915.900000000002</v>
      </c>
      <c r="X8" s="71">
        <f aca="true" t="shared" si="6" ref="X8:X64">O8-U8-AA8</f>
        <v>4</v>
      </c>
      <c r="Y8" s="72">
        <f aca="true" t="shared" si="7" ref="Y8:Y65">S8-V8-AB8</f>
        <v>288.0000000000009</v>
      </c>
      <c r="Z8" s="72">
        <f aca="true" t="shared" si="8" ref="Z8:Z65">T8-W8-AC8</f>
        <v>182.7999999999979</v>
      </c>
      <c r="AA8" s="72"/>
      <c r="AB8" s="72"/>
      <c r="AC8" s="72"/>
      <c r="AD8" s="72">
        <f aca="true" t="shared" si="9" ref="AD8:AD65">AE8+AH8+AI8</f>
        <v>95.1</v>
      </c>
      <c r="AE8" s="68">
        <f aca="true" t="shared" si="10" ref="AE8:AE65">AF8+AG8</f>
        <v>0</v>
      </c>
      <c r="AF8" s="73"/>
      <c r="AG8" s="68">
        <v>0</v>
      </c>
      <c r="AH8" s="73">
        <v>95.1</v>
      </c>
      <c r="AI8" s="73"/>
      <c r="AJ8" s="73">
        <f>S8+AD8</f>
        <v>6683.3</v>
      </c>
      <c r="AK8" s="65"/>
      <c r="AL8" s="65">
        <v>3</v>
      </c>
      <c r="AM8" s="65">
        <v>3</v>
      </c>
      <c r="AN8" s="65">
        <v>3</v>
      </c>
      <c r="AO8" s="65"/>
      <c r="AP8" s="65">
        <v>3</v>
      </c>
      <c r="AQ8" s="65">
        <v>5400</v>
      </c>
      <c r="AR8" s="65"/>
      <c r="AS8" s="65">
        <v>413</v>
      </c>
      <c r="AT8" s="65">
        <v>360</v>
      </c>
      <c r="AU8" s="65">
        <v>429</v>
      </c>
      <c r="AV8" s="65">
        <f>SUM(AW8+AX8)</f>
        <v>10869</v>
      </c>
      <c r="AW8" s="65"/>
      <c r="AX8" s="65">
        <v>10869</v>
      </c>
      <c r="AY8" s="65">
        <v>2970</v>
      </c>
      <c r="AZ8" s="65">
        <v>167</v>
      </c>
      <c r="BA8" s="65">
        <v>1102</v>
      </c>
      <c r="BB8" s="65">
        <v>1102</v>
      </c>
      <c r="BC8" s="65">
        <v>51</v>
      </c>
      <c r="BD8" s="65">
        <v>6</v>
      </c>
      <c r="BE8" s="65">
        <v>388</v>
      </c>
      <c r="BF8" s="65">
        <v>689</v>
      </c>
      <c r="BG8" s="65">
        <v>2</v>
      </c>
      <c r="BH8" s="65">
        <v>11400</v>
      </c>
      <c r="BI8" s="65">
        <v>4905</v>
      </c>
      <c r="BJ8" s="65">
        <v>135</v>
      </c>
      <c r="BK8" s="65"/>
      <c r="BL8" s="65"/>
      <c r="BM8" s="65"/>
      <c r="BN8" s="65">
        <f>G8</f>
        <v>1</v>
      </c>
      <c r="BO8" s="65">
        <f>S8</f>
        <v>6588.2</v>
      </c>
      <c r="BP8" s="65">
        <f>T8</f>
        <v>4098.7</v>
      </c>
      <c r="BQ8" s="65"/>
      <c r="BR8" s="65"/>
      <c r="BS8" s="65"/>
      <c r="BT8" s="65"/>
      <c r="BU8" s="65">
        <v>3</v>
      </c>
      <c r="BV8" s="65"/>
      <c r="BW8" s="65"/>
      <c r="BX8" s="65"/>
      <c r="BY8" s="65"/>
      <c r="BZ8" s="74"/>
      <c r="CA8" s="74"/>
      <c r="CB8" s="74"/>
      <c r="CC8" s="74"/>
      <c r="CD8" s="74"/>
      <c r="CE8" s="74"/>
      <c r="CF8" s="74"/>
      <c r="CG8" s="75"/>
      <c r="CH8" s="76"/>
      <c r="CI8" s="77">
        <v>1045.1</v>
      </c>
      <c r="CJ8" s="78">
        <v>3914</v>
      </c>
      <c r="CK8" s="78">
        <f t="shared" si="0"/>
        <v>2744</v>
      </c>
      <c r="CL8" s="79" t="str">
        <f t="shared" si="1"/>
        <v>0</v>
      </c>
      <c r="CM8" s="80">
        <f t="shared" si="2"/>
        <v>0</v>
      </c>
      <c r="CN8" s="79">
        <f t="shared" si="3"/>
        <v>1</v>
      </c>
      <c r="CO8" s="80">
        <f t="shared" si="4"/>
        <v>10869</v>
      </c>
      <c r="CP8" s="80">
        <f aca="true" t="shared" si="11" ref="CP8:CP47">CL8+CN8</f>
        <v>1</v>
      </c>
      <c r="CQ8" s="80">
        <f aca="true" t="shared" si="12" ref="CQ8:CQ47">CM8+CO8</f>
        <v>10869</v>
      </c>
      <c r="CR8" s="81">
        <v>29</v>
      </c>
      <c r="CS8" s="33">
        <v>1</v>
      </c>
      <c r="CT8" s="33">
        <v>0</v>
      </c>
      <c r="CU8" s="33">
        <v>0</v>
      </c>
      <c r="CV8" s="33">
        <v>0</v>
      </c>
      <c r="CW8" s="33">
        <v>2</v>
      </c>
      <c r="CX8" s="33">
        <v>0</v>
      </c>
      <c r="CY8" s="33">
        <v>0</v>
      </c>
      <c r="CZ8" s="33">
        <v>0</v>
      </c>
      <c r="DA8" s="33">
        <v>0</v>
      </c>
      <c r="DB8" s="33">
        <v>98</v>
      </c>
      <c r="DC8" s="33">
        <v>52</v>
      </c>
      <c r="DD8" s="33">
        <v>52</v>
      </c>
      <c r="DE8" s="33">
        <v>1</v>
      </c>
      <c r="DF8" s="33">
        <v>1</v>
      </c>
      <c r="DG8" s="33">
        <v>1</v>
      </c>
      <c r="DH8" s="82" t="str">
        <f aca="true" t="shared" si="13" ref="DH8:DH65">IF(AND(Y8/S8*100&gt;=50),G8,"0")</f>
        <v>0</v>
      </c>
      <c r="DI8" s="82" t="str">
        <f aca="true" t="shared" si="14" ref="DI8:DI65">IF(AND(Y8/S8*100&gt;=50),S8,"0")</f>
        <v>0</v>
      </c>
      <c r="DJ8" s="83">
        <f t="shared" si="5"/>
        <v>4.371451989921389</v>
      </c>
    </row>
    <row r="9" spans="1:114" ht="15">
      <c r="A9" s="5" t="s">
        <v>106</v>
      </c>
      <c r="B9" s="60">
        <v>3</v>
      </c>
      <c r="C9" s="61" t="s">
        <v>77</v>
      </c>
      <c r="D9" s="62">
        <v>1992</v>
      </c>
      <c r="E9" s="63" t="s">
        <v>67</v>
      </c>
      <c r="F9" s="63" t="s">
        <v>27</v>
      </c>
      <c r="G9" s="64">
        <v>1</v>
      </c>
      <c r="H9" s="63">
        <v>9</v>
      </c>
      <c r="I9" s="63" t="s">
        <v>124</v>
      </c>
      <c r="J9" s="65">
        <v>17018</v>
      </c>
      <c r="K9" s="65">
        <v>706</v>
      </c>
      <c r="L9" s="65" t="s">
        <v>186</v>
      </c>
      <c r="M9" s="65"/>
      <c r="N9" s="65">
        <v>695</v>
      </c>
      <c r="O9" s="65">
        <v>62</v>
      </c>
      <c r="P9" s="65">
        <v>169</v>
      </c>
      <c r="Q9" s="65">
        <v>64</v>
      </c>
      <c r="R9" s="84">
        <v>143</v>
      </c>
      <c r="S9" s="67">
        <v>4417.7</v>
      </c>
      <c r="T9" s="68">
        <v>2632.7</v>
      </c>
      <c r="U9" s="85">
        <v>59</v>
      </c>
      <c r="V9" s="70">
        <v>4230.200000000002</v>
      </c>
      <c r="W9" s="70">
        <v>2524.7999999999997</v>
      </c>
      <c r="X9" s="71">
        <f t="shared" si="6"/>
        <v>3</v>
      </c>
      <c r="Y9" s="72">
        <f t="shared" si="7"/>
        <v>187.49999999999818</v>
      </c>
      <c r="Z9" s="72">
        <f t="shared" si="8"/>
        <v>107.90000000000009</v>
      </c>
      <c r="AA9" s="72"/>
      <c r="AB9" s="72"/>
      <c r="AC9" s="72"/>
      <c r="AD9" s="72">
        <f t="shared" si="9"/>
        <v>0</v>
      </c>
      <c r="AE9" s="68">
        <f t="shared" si="10"/>
        <v>0</v>
      </c>
      <c r="AF9" s="73"/>
      <c r="AG9" s="68">
        <v>0</v>
      </c>
      <c r="AH9" s="73"/>
      <c r="AI9" s="73"/>
      <c r="AJ9" s="73">
        <f>S9+AD9</f>
        <v>4417.7</v>
      </c>
      <c r="AK9" s="65"/>
      <c r="AL9" s="65">
        <v>2</v>
      </c>
      <c r="AM9" s="65">
        <v>2</v>
      </c>
      <c r="AN9" s="65">
        <v>2</v>
      </c>
      <c r="AO9" s="65"/>
      <c r="AP9" s="65">
        <v>2</v>
      </c>
      <c r="AQ9" s="65">
        <v>3930</v>
      </c>
      <c r="AR9" s="65"/>
      <c r="AS9" s="65">
        <v>262</v>
      </c>
      <c r="AT9" s="65">
        <v>157</v>
      </c>
      <c r="AU9" s="65">
        <v>140</v>
      </c>
      <c r="AV9" s="65">
        <f>SUM(AW9+AX9)</f>
        <v>7246</v>
      </c>
      <c r="AW9" s="65">
        <v>7246</v>
      </c>
      <c r="AX9" s="65"/>
      <c r="AY9" s="65">
        <v>2140</v>
      </c>
      <c r="AZ9" s="65">
        <v>136</v>
      </c>
      <c r="BA9" s="65">
        <v>663</v>
      </c>
      <c r="BB9" s="65">
        <v>663</v>
      </c>
      <c r="BC9" s="65">
        <v>34</v>
      </c>
      <c r="BD9" s="65">
        <v>4</v>
      </c>
      <c r="BE9" s="65">
        <v>231</v>
      </c>
      <c r="BF9" s="65">
        <v>603</v>
      </c>
      <c r="BG9" s="65">
        <v>2</v>
      </c>
      <c r="BH9" s="65">
        <v>3570</v>
      </c>
      <c r="BI9" s="65">
        <v>1400</v>
      </c>
      <c r="BJ9" s="65">
        <v>90</v>
      </c>
      <c r="BK9" s="65"/>
      <c r="BL9" s="65"/>
      <c r="BM9" s="65"/>
      <c r="BN9" s="65">
        <f>G9</f>
        <v>1</v>
      </c>
      <c r="BO9" s="65">
        <f>S9</f>
        <v>4417.7</v>
      </c>
      <c r="BP9" s="65">
        <f>T9</f>
        <v>2632.7</v>
      </c>
      <c r="BQ9" s="65"/>
      <c r="BR9" s="65"/>
      <c r="BS9" s="65"/>
      <c r="BT9" s="65"/>
      <c r="BU9" s="65">
        <v>2</v>
      </c>
      <c r="BV9" s="65">
        <f>BB9</f>
        <v>663</v>
      </c>
      <c r="BW9" s="65">
        <v>6863</v>
      </c>
      <c r="BX9" s="65"/>
      <c r="BY9" s="65"/>
      <c r="BZ9" s="74"/>
      <c r="CA9" s="74"/>
      <c r="CB9" s="74"/>
      <c r="CC9" s="74"/>
      <c r="CD9" s="74"/>
      <c r="CE9" s="74"/>
      <c r="CF9" s="74"/>
      <c r="CG9" s="75"/>
      <c r="CH9" s="76"/>
      <c r="CI9" s="77">
        <v>517.7</v>
      </c>
      <c r="CJ9" s="78">
        <v>1646</v>
      </c>
      <c r="CK9" s="78">
        <f t="shared" si="0"/>
        <v>940</v>
      </c>
      <c r="CL9" s="79">
        <f t="shared" si="1"/>
        <v>1</v>
      </c>
      <c r="CM9" s="80">
        <f t="shared" si="2"/>
        <v>7246</v>
      </c>
      <c r="CN9" s="79" t="str">
        <f t="shared" si="3"/>
        <v>0</v>
      </c>
      <c r="CO9" s="80">
        <f t="shared" si="4"/>
        <v>0</v>
      </c>
      <c r="CP9" s="80">
        <f t="shared" si="11"/>
        <v>1</v>
      </c>
      <c r="CQ9" s="80">
        <f t="shared" si="12"/>
        <v>7246</v>
      </c>
      <c r="CR9" s="52">
        <v>26</v>
      </c>
      <c r="CS9" s="33">
        <v>1</v>
      </c>
      <c r="CT9" s="33">
        <v>0</v>
      </c>
      <c r="CU9" s="33">
        <v>0</v>
      </c>
      <c r="CV9" s="33">
        <v>0</v>
      </c>
      <c r="CW9" s="33">
        <v>2</v>
      </c>
      <c r="CX9" s="33">
        <v>0</v>
      </c>
      <c r="CY9" s="33">
        <v>0</v>
      </c>
      <c r="CZ9" s="33">
        <v>0</v>
      </c>
      <c r="DA9" s="33">
        <v>0</v>
      </c>
      <c r="DB9" s="33">
        <v>59</v>
      </c>
      <c r="DC9" s="33">
        <v>24</v>
      </c>
      <c r="DD9" s="33">
        <v>24</v>
      </c>
      <c r="DE9" s="33">
        <v>2</v>
      </c>
      <c r="DF9" s="33">
        <v>1</v>
      </c>
      <c r="DG9" s="33">
        <v>1</v>
      </c>
      <c r="DH9" s="82" t="str">
        <f t="shared" si="13"/>
        <v>0</v>
      </c>
      <c r="DI9" s="82" t="str">
        <f t="shared" si="14"/>
        <v>0</v>
      </c>
      <c r="DJ9" s="83">
        <f t="shared" si="5"/>
        <v>4.244290015166222</v>
      </c>
    </row>
    <row r="10" spans="1:114" ht="15">
      <c r="A10" s="5" t="s">
        <v>106</v>
      </c>
      <c r="B10" s="60">
        <v>4</v>
      </c>
      <c r="C10" s="61" t="s">
        <v>143</v>
      </c>
      <c r="D10" s="62">
        <v>1983</v>
      </c>
      <c r="E10" s="63" t="s">
        <v>67</v>
      </c>
      <c r="F10" s="63" t="s">
        <v>28</v>
      </c>
      <c r="G10" s="64">
        <v>1</v>
      </c>
      <c r="H10" s="63">
        <v>9</v>
      </c>
      <c r="I10" s="63" t="s">
        <v>139</v>
      </c>
      <c r="J10" s="65">
        <f>39273+19324+39325+18950</f>
        <v>116872</v>
      </c>
      <c r="K10" s="65">
        <f>1509+760+1540+542</f>
        <v>4351</v>
      </c>
      <c r="L10" s="65" t="s">
        <v>187</v>
      </c>
      <c r="M10" s="65"/>
      <c r="N10" s="65">
        <f>1452+721+528+1462</f>
        <v>4163</v>
      </c>
      <c r="O10" s="65">
        <v>402</v>
      </c>
      <c r="P10" s="65">
        <v>1011</v>
      </c>
      <c r="Q10" s="65">
        <v>408</v>
      </c>
      <c r="R10" s="86">
        <v>895</v>
      </c>
      <c r="S10" s="67">
        <v>25019</v>
      </c>
      <c r="T10" s="68">
        <v>15375.3</v>
      </c>
      <c r="U10" s="87">
        <v>360</v>
      </c>
      <c r="V10" s="88">
        <v>22262.400000000023</v>
      </c>
      <c r="W10" s="88">
        <v>13648.400000000016</v>
      </c>
      <c r="X10" s="71">
        <f t="shared" si="6"/>
        <v>42</v>
      </c>
      <c r="Y10" s="72">
        <f t="shared" si="7"/>
        <v>2756.5999999999767</v>
      </c>
      <c r="Z10" s="72">
        <f t="shared" si="8"/>
        <v>1726.8999999999833</v>
      </c>
      <c r="AA10" s="72"/>
      <c r="AB10" s="72"/>
      <c r="AC10" s="72"/>
      <c r="AD10" s="72">
        <f t="shared" si="9"/>
        <v>103.7</v>
      </c>
      <c r="AE10" s="68">
        <f t="shared" si="10"/>
        <v>103.7</v>
      </c>
      <c r="AF10" s="73"/>
      <c r="AG10" s="68">
        <v>103.7</v>
      </c>
      <c r="AH10" s="73"/>
      <c r="AI10" s="73"/>
      <c r="AJ10" s="73">
        <f aca="true" t="shared" si="15" ref="AJ10:AJ52">S10+AD10</f>
        <v>25122.7</v>
      </c>
      <c r="AK10" s="65"/>
      <c r="AL10" s="65">
        <f>4+2+1+4</f>
        <v>11</v>
      </c>
      <c r="AM10" s="65">
        <f>4+2+1+4</f>
        <v>11</v>
      </c>
      <c r="AN10" s="65">
        <f>4+2+1+4</f>
        <v>11</v>
      </c>
      <c r="AO10" s="65"/>
      <c r="AP10" s="65">
        <f>4+2+1+4</f>
        <v>11</v>
      </c>
      <c r="AQ10" s="65">
        <f>7020+3480+2130+6570</f>
        <v>19200</v>
      </c>
      <c r="AR10" s="65"/>
      <c r="AS10" s="65">
        <f>1535</f>
        <v>1535</v>
      </c>
      <c r="AT10" s="65">
        <f>549+320+102+550</f>
        <v>1521</v>
      </c>
      <c r="AU10" s="65">
        <f>572+286+143+572</f>
        <v>1573</v>
      </c>
      <c r="AV10" s="65">
        <f aca="true" t="shared" si="16" ref="AV10:AV40">SUM(AW10+AX10)</f>
        <v>41666</v>
      </c>
      <c r="AW10" s="65">
        <f>14492+7246+5436+14492</f>
        <v>41666</v>
      </c>
      <c r="AX10" s="65"/>
      <c r="AY10" s="65">
        <f>3800+1900+0+3800</f>
        <v>9500</v>
      </c>
      <c r="AZ10" s="65">
        <f>337+164+164+130</f>
        <v>795</v>
      </c>
      <c r="BA10" s="65">
        <f>1428+702+521+1430</f>
        <v>4081</v>
      </c>
      <c r="BB10" s="65">
        <f>1428+702+521+1430</f>
        <v>4081</v>
      </c>
      <c r="BC10" s="65">
        <f>68+34+17+68</f>
        <v>187</v>
      </c>
      <c r="BD10" s="65">
        <f>8+4+8+2</f>
        <v>22</v>
      </c>
      <c r="BE10" s="65">
        <f>514+253+505+141</f>
        <v>1413</v>
      </c>
      <c r="BF10" s="65">
        <f>1354+673+1345+459</f>
        <v>3831</v>
      </c>
      <c r="BG10" s="65"/>
      <c r="BH10" s="65">
        <f>15200+7600+3800+15200</f>
        <v>41800</v>
      </c>
      <c r="BI10" s="65">
        <f>6540+3270+1635+6540</f>
        <v>17985</v>
      </c>
      <c r="BJ10" s="65">
        <f>380+90+45+380</f>
        <v>895</v>
      </c>
      <c r="BK10" s="65"/>
      <c r="BL10" s="65"/>
      <c r="BM10" s="65"/>
      <c r="BN10" s="65"/>
      <c r="BO10" s="65"/>
      <c r="BP10" s="65"/>
      <c r="BQ10" s="65">
        <f>G10</f>
        <v>1</v>
      </c>
      <c r="BR10" s="65">
        <f>S10</f>
        <v>25019</v>
      </c>
      <c r="BS10" s="65">
        <f>T10</f>
        <v>15375.3</v>
      </c>
      <c r="BT10" s="65"/>
      <c r="BU10" s="65">
        <v>6</v>
      </c>
      <c r="BV10" s="65"/>
      <c r="BW10" s="65"/>
      <c r="BX10" s="65"/>
      <c r="BY10" s="65">
        <v>6570</v>
      </c>
      <c r="BZ10" s="74"/>
      <c r="CA10" s="74"/>
      <c r="CB10" s="74"/>
      <c r="CC10" s="74"/>
      <c r="CD10" s="74"/>
      <c r="CE10" s="74"/>
      <c r="CF10" s="74"/>
      <c r="CG10" s="75"/>
      <c r="CH10" s="76"/>
      <c r="CI10" s="77">
        <v>4403.6</v>
      </c>
      <c r="CJ10" s="78">
        <f>3030+6440</f>
        <v>9470</v>
      </c>
      <c r="CK10" s="78">
        <f t="shared" si="0"/>
        <v>5119</v>
      </c>
      <c r="CL10" s="79">
        <f t="shared" si="1"/>
        <v>1</v>
      </c>
      <c r="CM10" s="80">
        <f t="shared" si="2"/>
        <v>41666</v>
      </c>
      <c r="CN10" s="79" t="str">
        <f t="shared" si="3"/>
        <v>0</v>
      </c>
      <c r="CO10" s="80">
        <f t="shared" si="4"/>
        <v>0</v>
      </c>
      <c r="CP10" s="80">
        <f t="shared" si="11"/>
        <v>1</v>
      </c>
      <c r="CQ10" s="80">
        <f t="shared" si="12"/>
        <v>41666</v>
      </c>
      <c r="CR10" s="52">
        <v>30</v>
      </c>
      <c r="CS10" s="33">
        <v>1</v>
      </c>
      <c r="CT10" s="33">
        <v>0</v>
      </c>
      <c r="CU10" s="33">
        <v>0</v>
      </c>
      <c r="CV10" s="33">
        <v>0</v>
      </c>
      <c r="CW10" s="33">
        <v>6</v>
      </c>
      <c r="CX10" s="33">
        <v>0</v>
      </c>
      <c r="CY10" s="33">
        <v>0</v>
      </c>
      <c r="CZ10" s="33">
        <v>0</v>
      </c>
      <c r="DA10" s="33">
        <v>0</v>
      </c>
      <c r="DB10" s="33">
        <v>384</v>
      </c>
      <c r="DC10" s="33">
        <v>195</v>
      </c>
      <c r="DD10" s="33">
        <v>195</v>
      </c>
      <c r="DE10" s="33">
        <v>24</v>
      </c>
      <c r="DF10" s="33">
        <v>7</v>
      </c>
      <c r="DG10" s="33">
        <v>7</v>
      </c>
      <c r="DH10" s="82" t="str">
        <f t="shared" si="13"/>
        <v>0</v>
      </c>
      <c r="DI10" s="82" t="str">
        <f t="shared" si="14"/>
        <v>0</v>
      </c>
      <c r="DJ10" s="83">
        <f t="shared" si="5"/>
        <v>11.018026300011897</v>
      </c>
    </row>
    <row r="11" spans="1:114" ht="15">
      <c r="A11" s="5" t="s">
        <v>106</v>
      </c>
      <c r="B11" s="60">
        <v>5</v>
      </c>
      <c r="C11" s="61" t="s">
        <v>78</v>
      </c>
      <c r="D11" s="62">
        <v>1950</v>
      </c>
      <c r="E11" s="63" t="s">
        <v>67</v>
      </c>
      <c r="F11" s="63" t="s">
        <v>29</v>
      </c>
      <c r="G11" s="64">
        <v>1</v>
      </c>
      <c r="H11" s="63">
        <v>5</v>
      </c>
      <c r="I11" s="63" t="s">
        <v>125</v>
      </c>
      <c r="J11" s="65">
        <v>51096</v>
      </c>
      <c r="K11" s="65">
        <v>1976</v>
      </c>
      <c r="L11" s="65" t="s">
        <v>188</v>
      </c>
      <c r="M11" s="65">
        <v>2406</v>
      </c>
      <c r="N11" s="65">
        <v>0</v>
      </c>
      <c r="O11" s="65">
        <v>64</v>
      </c>
      <c r="P11" s="65">
        <v>166</v>
      </c>
      <c r="Q11" s="65">
        <v>66</v>
      </c>
      <c r="R11" s="86">
        <v>135</v>
      </c>
      <c r="S11" s="67">
        <v>4780.04</v>
      </c>
      <c r="T11" s="68">
        <v>2973.55</v>
      </c>
      <c r="U11" s="87">
        <v>56</v>
      </c>
      <c r="V11" s="70">
        <v>4184.499999999999</v>
      </c>
      <c r="W11" s="70">
        <v>2595.0599999999995</v>
      </c>
      <c r="X11" s="71">
        <f t="shared" si="6"/>
        <v>8</v>
      </c>
      <c r="Y11" s="72">
        <f t="shared" si="7"/>
        <v>595.5400000000009</v>
      </c>
      <c r="Z11" s="72">
        <f t="shared" si="8"/>
        <v>378.4900000000007</v>
      </c>
      <c r="AA11" s="72"/>
      <c r="AB11" s="72"/>
      <c r="AC11" s="72"/>
      <c r="AD11" s="72">
        <f t="shared" si="9"/>
        <v>2838</v>
      </c>
      <c r="AE11" s="68">
        <f t="shared" si="10"/>
        <v>958.8</v>
      </c>
      <c r="AF11" s="73"/>
      <c r="AG11" s="68">
        <v>958.8</v>
      </c>
      <c r="AH11" s="73">
        <v>1879.2</v>
      </c>
      <c r="AI11" s="73"/>
      <c r="AJ11" s="89">
        <f t="shared" si="15"/>
        <v>7618.04</v>
      </c>
      <c r="AK11" s="65"/>
      <c r="AL11" s="65"/>
      <c r="AM11" s="65">
        <v>5</v>
      </c>
      <c r="AN11" s="65"/>
      <c r="AO11" s="65"/>
      <c r="AP11" s="65">
        <v>1</v>
      </c>
      <c r="AQ11" s="65">
        <v>4382</v>
      </c>
      <c r="AR11" s="65">
        <v>1376</v>
      </c>
      <c r="AS11" s="65">
        <v>435</v>
      </c>
      <c r="AT11" s="65">
        <v>254</v>
      </c>
      <c r="AU11" s="65">
        <v>150</v>
      </c>
      <c r="AV11" s="65">
        <f t="shared" si="16"/>
        <v>4965</v>
      </c>
      <c r="AW11" s="65"/>
      <c r="AX11" s="65">
        <v>4965</v>
      </c>
      <c r="AY11" s="65"/>
      <c r="AZ11" s="65">
        <v>157</v>
      </c>
      <c r="BA11" s="65">
        <v>1968</v>
      </c>
      <c r="BB11" s="65">
        <v>1968</v>
      </c>
      <c r="BC11" s="65">
        <v>25</v>
      </c>
      <c r="BD11" s="65">
        <v>10</v>
      </c>
      <c r="BE11" s="65">
        <v>238</v>
      </c>
      <c r="BF11" s="65">
        <v>628</v>
      </c>
      <c r="BG11" s="65"/>
      <c r="BH11" s="65">
        <v>4868</v>
      </c>
      <c r="BI11" s="65">
        <v>190</v>
      </c>
      <c r="BJ11" s="65"/>
      <c r="BK11" s="65">
        <f>G11</f>
        <v>1</v>
      </c>
      <c r="BL11" s="65">
        <f>S11</f>
        <v>4780.04</v>
      </c>
      <c r="BM11" s="65">
        <f>T11</f>
        <v>2973.55</v>
      </c>
      <c r="BN11" s="65"/>
      <c r="BO11" s="65"/>
      <c r="BP11" s="65"/>
      <c r="BQ11" s="65"/>
      <c r="BR11" s="65"/>
      <c r="BS11" s="65"/>
      <c r="BT11" s="65"/>
      <c r="BU11" s="65">
        <v>2</v>
      </c>
      <c r="BV11" s="65">
        <f>BB11</f>
        <v>1968</v>
      </c>
      <c r="BW11" s="65">
        <v>5180</v>
      </c>
      <c r="BX11" s="65"/>
      <c r="BY11" s="65">
        <f>AQ11</f>
        <v>4382</v>
      </c>
      <c r="BZ11" s="74"/>
      <c r="CA11" s="74"/>
      <c r="CB11" s="74"/>
      <c r="CC11" s="74"/>
      <c r="CD11" s="74"/>
      <c r="CE11" s="74"/>
      <c r="CF11" s="74"/>
      <c r="CG11" s="75"/>
      <c r="CH11" s="76"/>
      <c r="CI11" s="77">
        <v>514.97</v>
      </c>
      <c r="CJ11" s="78">
        <v>4174</v>
      </c>
      <c r="CK11" s="78">
        <f t="shared" si="0"/>
        <v>2198</v>
      </c>
      <c r="CL11" s="79" t="str">
        <f t="shared" si="1"/>
        <v>0</v>
      </c>
      <c r="CM11" s="80">
        <f t="shared" si="2"/>
        <v>0</v>
      </c>
      <c r="CN11" s="79">
        <f t="shared" si="3"/>
        <v>1</v>
      </c>
      <c r="CO11" s="80">
        <f t="shared" si="4"/>
        <v>4965</v>
      </c>
      <c r="CP11" s="80">
        <f t="shared" si="11"/>
        <v>1</v>
      </c>
      <c r="CQ11" s="80">
        <f t="shared" si="12"/>
        <v>4965</v>
      </c>
      <c r="CR11" s="52">
        <v>30</v>
      </c>
      <c r="CS11" s="33">
        <v>1</v>
      </c>
      <c r="CT11" s="33">
        <v>0</v>
      </c>
      <c r="CU11" s="33">
        <v>0</v>
      </c>
      <c r="CV11" s="33">
        <v>0</v>
      </c>
      <c r="CW11" s="33">
        <v>1</v>
      </c>
      <c r="CX11" s="33">
        <v>0</v>
      </c>
      <c r="CY11" s="33">
        <v>0</v>
      </c>
      <c r="CZ11" s="33">
        <v>0</v>
      </c>
      <c r="DA11" s="33">
        <v>0</v>
      </c>
      <c r="DB11" s="33">
        <v>63</v>
      </c>
      <c r="DC11" s="33">
        <v>14</v>
      </c>
      <c r="DD11" s="33">
        <v>14</v>
      </c>
      <c r="DE11" s="33">
        <v>4</v>
      </c>
      <c r="DF11" s="33">
        <v>0</v>
      </c>
      <c r="DG11" s="33">
        <v>0</v>
      </c>
      <c r="DH11" s="82" t="str">
        <f t="shared" si="13"/>
        <v>0</v>
      </c>
      <c r="DI11" s="82" t="str">
        <f t="shared" si="14"/>
        <v>0</v>
      </c>
      <c r="DJ11" s="83">
        <f t="shared" si="5"/>
        <v>12.458891557392844</v>
      </c>
    </row>
    <row r="12" spans="1:114" ht="15">
      <c r="A12" s="5" t="s">
        <v>106</v>
      </c>
      <c r="B12" s="60">
        <v>6</v>
      </c>
      <c r="C12" s="61" t="s">
        <v>79</v>
      </c>
      <c r="D12" s="62">
        <v>1983</v>
      </c>
      <c r="E12" s="63" t="s">
        <v>67</v>
      </c>
      <c r="F12" s="63" t="s">
        <v>28</v>
      </c>
      <c r="G12" s="64">
        <v>1</v>
      </c>
      <c r="H12" s="63">
        <v>9</v>
      </c>
      <c r="I12" s="63" t="s">
        <v>124</v>
      </c>
      <c r="J12" s="65">
        <v>19852</v>
      </c>
      <c r="K12" s="65">
        <v>718</v>
      </c>
      <c r="L12" s="65" t="s">
        <v>189</v>
      </c>
      <c r="M12" s="65"/>
      <c r="N12" s="65">
        <v>722</v>
      </c>
      <c r="O12" s="65">
        <v>70</v>
      </c>
      <c r="P12" s="65">
        <v>196</v>
      </c>
      <c r="Q12" s="65">
        <v>73</v>
      </c>
      <c r="R12" s="86">
        <v>174</v>
      </c>
      <c r="S12" s="67">
        <v>4532.4</v>
      </c>
      <c r="T12" s="68">
        <v>2887.5</v>
      </c>
      <c r="U12" s="87">
        <v>64</v>
      </c>
      <c r="V12" s="70">
        <v>4142.099999999999</v>
      </c>
      <c r="W12" s="70">
        <v>2636.8000000000006</v>
      </c>
      <c r="X12" s="71">
        <f t="shared" si="6"/>
        <v>6</v>
      </c>
      <c r="Y12" s="72">
        <f t="shared" si="7"/>
        <v>390.3000000000002</v>
      </c>
      <c r="Z12" s="72">
        <f t="shared" si="8"/>
        <v>250.69999999999936</v>
      </c>
      <c r="AA12" s="72"/>
      <c r="AB12" s="72"/>
      <c r="AC12" s="72"/>
      <c r="AD12" s="72">
        <f t="shared" si="9"/>
        <v>0</v>
      </c>
      <c r="AE12" s="68">
        <f t="shared" si="10"/>
        <v>0</v>
      </c>
      <c r="AF12" s="73"/>
      <c r="AG12" s="68">
        <v>0</v>
      </c>
      <c r="AH12" s="73"/>
      <c r="AI12" s="73"/>
      <c r="AJ12" s="73">
        <f t="shared" si="15"/>
        <v>4532.4</v>
      </c>
      <c r="AK12" s="65"/>
      <c r="AL12" s="65">
        <v>2</v>
      </c>
      <c r="AM12" s="65">
        <v>2</v>
      </c>
      <c r="AN12" s="65">
        <v>2</v>
      </c>
      <c r="AO12" s="65"/>
      <c r="AP12" s="65">
        <v>2</v>
      </c>
      <c r="AQ12" s="65">
        <v>3930</v>
      </c>
      <c r="AR12" s="65"/>
      <c r="AS12" s="65"/>
      <c r="AT12" s="65">
        <v>197</v>
      </c>
      <c r="AU12" s="65">
        <v>286</v>
      </c>
      <c r="AV12" s="65">
        <f t="shared" si="16"/>
        <v>7246</v>
      </c>
      <c r="AW12" s="65">
        <v>7246</v>
      </c>
      <c r="AX12" s="65"/>
      <c r="AY12" s="65">
        <v>2140</v>
      </c>
      <c r="AZ12" s="65">
        <v>170</v>
      </c>
      <c r="BA12" s="65">
        <v>722</v>
      </c>
      <c r="BB12" s="65">
        <v>722</v>
      </c>
      <c r="BC12" s="65">
        <v>34</v>
      </c>
      <c r="BD12" s="65">
        <v>4</v>
      </c>
      <c r="BE12" s="65">
        <v>266</v>
      </c>
      <c r="BF12" s="65">
        <v>686</v>
      </c>
      <c r="BG12" s="65"/>
      <c r="BH12" s="65">
        <v>7600</v>
      </c>
      <c r="BI12" s="65">
        <v>3270</v>
      </c>
      <c r="BJ12" s="65">
        <v>90</v>
      </c>
      <c r="BK12" s="65"/>
      <c r="BL12" s="65"/>
      <c r="BM12" s="65"/>
      <c r="BN12" s="65">
        <f>G12</f>
        <v>1</v>
      </c>
      <c r="BO12" s="65">
        <f>S12</f>
        <v>4532.4</v>
      </c>
      <c r="BP12" s="65">
        <f>T12</f>
        <v>2887.5</v>
      </c>
      <c r="BQ12" s="65"/>
      <c r="BR12" s="65"/>
      <c r="BS12" s="65"/>
      <c r="BT12" s="65"/>
      <c r="BU12" s="65">
        <v>2</v>
      </c>
      <c r="BV12" s="65"/>
      <c r="BW12" s="65"/>
      <c r="BX12" s="65"/>
      <c r="BY12" s="65"/>
      <c r="BZ12" s="74"/>
      <c r="CA12" s="74"/>
      <c r="CB12" s="74"/>
      <c r="CC12" s="74"/>
      <c r="CD12" s="74"/>
      <c r="CE12" s="74"/>
      <c r="CF12" s="74"/>
      <c r="CG12" s="75"/>
      <c r="CH12" s="76"/>
      <c r="CI12" s="77">
        <v>778</v>
      </c>
      <c r="CJ12" s="78">
        <v>1483</v>
      </c>
      <c r="CK12" s="78">
        <f t="shared" si="0"/>
        <v>765</v>
      </c>
      <c r="CL12" s="79">
        <f t="shared" si="1"/>
        <v>1</v>
      </c>
      <c r="CM12" s="80">
        <f t="shared" si="2"/>
        <v>7246</v>
      </c>
      <c r="CN12" s="79" t="str">
        <f t="shared" si="3"/>
        <v>0</v>
      </c>
      <c r="CO12" s="80">
        <f t="shared" si="4"/>
        <v>0</v>
      </c>
      <c r="CP12" s="80">
        <f t="shared" si="11"/>
        <v>1</v>
      </c>
      <c r="CQ12" s="80">
        <f t="shared" si="12"/>
        <v>7246</v>
      </c>
      <c r="CR12" s="52">
        <v>27</v>
      </c>
      <c r="CS12" s="33">
        <v>1</v>
      </c>
      <c r="CT12" s="33">
        <v>0</v>
      </c>
      <c r="CU12" s="33">
        <v>0</v>
      </c>
      <c r="CV12" s="33">
        <v>0</v>
      </c>
      <c r="CW12" s="33">
        <v>2</v>
      </c>
      <c r="CX12" s="33">
        <v>0</v>
      </c>
      <c r="CY12" s="33">
        <v>0</v>
      </c>
      <c r="CZ12" s="33">
        <v>0</v>
      </c>
      <c r="DA12" s="33">
        <v>0</v>
      </c>
      <c r="DB12" s="33">
        <v>68</v>
      </c>
      <c r="DC12" s="33">
        <v>33</v>
      </c>
      <c r="DD12" s="33">
        <v>33</v>
      </c>
      <c r="DE12" s="33">
        <v>2</v>
      </c>
      <c r="DF12" s="33">
        <v>0</v>
      </c>
      <c r="DG12" s="33">
        <v>0</v>
      </c>
      <c r="DH12" s="82" t="str">
        <f t="shared" si="13"/>
        <v>0</v>
      </c>
      <c r="DI12" s="82" t="str">
        <f t="shared" si="14"/>
        <v>0</v>
      </c>
      <c r="DJ12" s="83">
        <f t="shared" si="5"/>
        <v>8.611331744770986</v>
      </c>
    </row>
    <row r="13" spans="1:114" ht="15">
      <c r="A13" s="5" t="s">
        <v>106</v>
      </c>
      <c r="B13" s="60">
        <v>7</v>
      </c>
      <c r="C13" s="61" t="s">
        <v>80</v>
      </c>
      <c r="D13" s="62">
        <v>1983</v>
      </c>
      <c r="E13" s="63" t="s">
        <v>67</v>
      </c>
      <c r="F13" s="63" t="s">
        <v>28</v>
      </c>
      <c r="G13" s="64">
        <v>1</v>
      </c>
      <c r="H13" s="63">
        <v>9</v>
      </c>
      <c r="I13" s="63" t="s">
        <v>124</v>
      </c>
      <c r="J13" s="65">
        <v>29545</v>
      </c>
      <c r="K13" s="65">
        <v>1078</v>
      </c>
      <c r="L13" s="65" t="s">
        <v>190</v>
      </c>
      <c r="M13" s="65"/>
      <c r="N13" s="65">
        <v>1078</v>
      </c>
      <c r="O13" s="65">
        <v>105</v>
      </c>
      <c r="P13" s="65">
        <v>285</v>
      </c>
      <c r="Q13" s="65">
        <v>107</v>
      </c>
      <c r="R13" s="86">
        <v>223</v>
      </c>
      <c r="S13" s="67">
        <v>6777.4</v>
      </c>
      <c r="T13" s="68">
        <v>4254.1</v>
      </c>
      <c r="U13" s="87">
        <v>100</v>
      </c>
      <c r="V13" s="70">
        <v>6470.69999999999</v>
      </c>
      <c r="W13" s="70">
        <v>4059.499999999998</v>
      </c>
      <c r="X13" s="71">
        <f t="shared" si="6"/>
        <v>5</v>
      </c>
      <c r="Y13" s="72">
        <f t="shared" si="7"/>
        <v>306.7000000000098</v>
      </c>
      <c r="Z13" s="72">
        <f t="shared" si="8"/>
        <v>194.60000000000218</v>
      </c>
      <c r="AA13" s="72"/>
      <c r="AB13" s="72"/>
      <c r="AC13" s="72"/>
      <c r="AD13" s="72">
        <f t="shared" si="9"/>
        <v>0</v>
      </c>
      <c r="AE13" s="68">
        <f t="shared" si="10"/>
        <v>0</v>
      </c>
      <c r="AF13" s="73"/>
      <c r="AG13" s="68">
        <v>0</v>
      </c>
      <c r="AH13" s="73"/>
      <c r="AI13" s="73"/>
      <c r="AJ13" s="73">
        <f t="shared" si="15"/>
        <v>6777.4</v>
      </c>
      <c r="AK13" s="65"/>
      <c r="AL13" s="65">
        <v>3</v>
      </c>
      <c r="AM13" s="65">
        <v>3</v>
      </c>
      <c r="AN13" s="65">
        <v>3</v>
      </c>
      <c r="AO13" s="65"/>
      <c r="AP13" s="65">
        <v>3</v>
      </c>
      <c r="AQ13" s="65">
        <v>5400</v>
      </c>
      <c r="AR13" s="65"/>
      <c r="AS13" s="65">
        <v>1204</v>
      </c>
      <c r="AT13" s="65">
        <v>270</v>
      </c>
      <c r="AU13" s="65">
        <v>429</v>
      </c>
      <c r="AV13" s="65">
        <f t="shared" si="16"/>
        <v>10869</v>
      </c>
      <c r="AW13" s="65">
        <v>10869</v>
      </c>
      <c r="AX13" s="65"/>
      <c r="AY13" s="65">
        <v>2970</v>
      </c>
      <c r="AZ13" s="65">
        <v>254</v>
      </c>
      <c r="BA13" s="65">
        <v>1078</v>
      </c>
      <c r="BB13" s="65">
        <v>1078</v>
      </c>
      <c r="BC13" s="65">
        <v>51</v>
      </c>
      <c r="BD13" s="65">
        <v>6</v>
      </c>
      <c r="BE13" s="65">
        <v>390</v>
      </c>
      <c r="BF13" s="65">
        <v>1020</v>
      </c>
      <c r="BG13" s="65"/>
      <c r="BH13" s="65">
        <v>11400</v>
      </c>
      <c r="BI13" s="65">
        <v>4905</v>
      </c>
      <c r="BJ13" s="65">
        <v>135</v>
      </c>
      <c r="BK13" s="65"/>
      <c r="BL13" s="65"/>
      <c r="BM13" s="65"/>
      <c r="BN13" s="65">
        <f>G13</f>
        <v>1</v>
      </c>
      <c r="BO13" s="65">
        <f>S13</f>
        <v>6777.4</v>
      </c>
      <c r="BP13" s="65">
        <f>T13</f>
        <v>4254.1</v>
      </c>
      <c r="BQ13" s="65"/>
      <c r="BR13" s="65"/>
      <c r="BS13" s="65"/>
      <c r="BT13" s="65"/>
      <c r="BU13" s="65">
        <v>2</v>
      </c>
      <c r="BV13" s="65"/>
      <c r="BW13" s="65"/>
      <c r="BX13" s="65"/>
      <c r="BY13" s="65"/>
      <c r="BZ13" s="74"/>
      <c r="CA13" s="74"/>
      <c r="CB13" s="74"/>
      <c r="CC13" s="74"/>
      <c r="CD13" s="74"/>
      <c r="CE13" s="74"/>
      <c r="CF13" s="74"/>
      <c r="CG13" s="75"/>
      <c r="CH13" s="76"/>
      <c r="CI13" s="77">
        <v>1183.8</v>
      </c>
      <c r="CJ13" s="78">
        <v>2351</v>
      </c>
      <c r="CK13" s="78">
        <f t="shared" si="0"/>
        <v>1273</v>
      </c>
      <c r="CL13" s="79">
        <f t="shared" si="1"/>
        <v>1</v>
      </c>
      <c r="CM13" s="80">
        <f t="shared" si="2"/>
        <v>10869</v>
      </c>
      <c r="CN13" s="79" t="str">
        <f t="shared" si="3"/>
        <v>0</v>
      </c>
      <c r="CO13" s="80">
        <f t="shared" si="4"/>
        <v>0</v>
      </c>
      <c r="CP13" s="80">
        <f t="shared" si="11"/>
        <v>1</v>
      </c>
      <c r="CQ13" s="80">
        <f t="shared" si="12"/>
        <v>10869</v>
      </c>
      <c r="CR13" s="52">
        <v>26</v>
      </c>
      <c r="CS13" s="33">
        <v>1</v>
      </c>
      <c r="CT13" s="33">
        <v>0</v>
      </c>
      <c r="CU13" s="33">
        <v>0</v>
      </c>
      <c r="CV13" s="33">
        <v>0</v>
      </c>
      <c r="CW13" s="33">
        <v>2</v>
      </c>
      <c r="CX13" s="33">
        <v>0</v>
      </c>
      <c r="CY13" s="33">
        <v>0</v>
      </c>
      <c r="CZ13" s="33">
        <v>0</v>
      </c>
      <c r="DA13" s="33">
        <v>0</v>
      </c>
      <c r="DB13" s="33">
        <v>98</v>
      </c>
      <c r="DC13" s="33">
        <v>54</v>
      </c>
      <c r="DD13" s="33">
        <v>54</v>
      </c>
      <c r="DE13" s="33">
        <v>2</v>
      </c>
      <c r="DF13" s="33">
        <v>2</v>
      </c>
      <c r="DG13" s="33">
        <v>2</v>
      </c>
      <c r="DH13" s="82" t="str">
        <f t="shared" si="13"/>
        <v>0</v>
      </c>
      <c r="DI13" s="82" t="str">
        <f t="shared" si="14"/>
        <v>0</v>
      </c>
      <c r="DJ13" s="83">
        <f t="shared" si="5"/>
        <v>4.5253341989554965</v>
      </c>
    </row>
    <row r="14" spans="1:114" ht="15">
      <c r="A14" s="5" t="s">
        <v>106</v>
      </c>
      <c r="B14" s="60">
        <v>8</v>
      </c>
      <c r="C14" s="61" t="s">
        <v>81</v>
      </c>
      <c r="D14" s="62">
        <v>1951</v>
      </c>
      <c r="E14" s="63" t="s">
        <v>67</v>
      </c>
      <c r="F14" s="63" t="s">
        <v>29</v>
      </c>
      <c r="G14" s="64">
        <v>1</v>
      </c>
      <c r="H14" s="63">
        <v>5</v>
      </c>
      <c r="I14" s="63" t="s">
        <v>125</v>
      </c>
      <c r="J14" s="65">
        <v>42441</v>
      </c>
      <c r="K14" s="65">
        <v>2481</v>
      </c>
      <c r="L14" s="65" t="s">
        <v>191</v>
      </c>
      <c r="M14" s="65">
        <v>2647</v>
      </c>
      <c r="N14" s="65">
        <v>0</v>
      </c>
      <c r="O14" s="65">
        <f>85+2</f>
        <v>87</v>
      </c>
      <c r="P14" s="65">
        <f>221+2+2</f>
        <v>225</v>
      </c>
      <c r="Q14" s="65">
        <v>90</v>
      </c>
      <c r="R14" s="86">
        <v>170</v>
      </c>
      <c r="S14" s="67">
        <f>6161.91+66.29+64.29</f>
        <v>6292.49</v>
      </c>
      <c r="T14" s="68">
        <v>3867.9399999999996</v>
      </c>
      <c r="U14" s="87">
        <v>78</v>
      </c>
      <c r="V14" s="70">
        <v>5601.610000000001</v>
      </c>
      <c r="W14" s="70">
        <v>3438.419999999999</v>
      </c>
      <c r="X14" s="71">
        <f t="shared" si="6"/>
        <v>9</v>
      </c>
      <c r="Y14" s="72">
        <f t="shared" si="7"/>
        <v>690.8799999999992</v>
      </c>
      <c r="Z14" s="72">
        <f t="shared" si="8"/>
        <v>429.52000000000044</v>
      </c>
      <c r="AA14" s="72"/>
      <c r="AB14" s="72"/>
      <c r="AC14" s="72"/>
      <c r="AD14" s="72">
        <f t="shared" si="9"/>
        <v>1118.6100000000001</v>
      </c>
      <c r="AE14" s="68">
        <f t="shared" si="10"/>
        <v>837.21</v>
      </c>
      <c r="AF14" s="73"/>
      <c r="AG14" s="68">
        <f>967.79-66.29-64.29</f>
        <v>837.21</v>
      </c>
      <c r="AH14" s="73">
        <v>281.4</v>
      </c>
      <c r="AI14" s="73"/>
      <c r="AJ14" s="73">
        <f t="shared" si="15"/>
        <v>7411.1</v>
      </c>
      <c r="AK14" s="65"/>
      <c r="AL14" s="65"/>
      <c r="AM14" s="65">
        <v>5</v>
      </c>
      <c r="AN14" s="65"/>
      <c r="AO14" s="65"/>
      <c r="AP14" s="65">
        <v>1</v>
      </c>
      <c r="AQ14" s="65">
        <v>4364</v>
      </c>
      <c r="AR14" s="65">
        <v>1376</v>
      </c>
      <c r="AS14" s="65">
        <v>395</v>
      </c>
      <c r="AT14" s="65">
        <v>304</v>
      </c>
      <c r="AU14" s="65">
        <v>150</v>
      </c>
      <c r="AV14" s="65">
        <f t="shared" si="16"/>
        <v>4965</v>
      </c>
      <c r="AW14" s="65"/>
      <c r="AX14" s="65">
        <v>4965</v>
      </c>
      <c r="AY14" s="65"/>
      <c r="AZ14" s="65">
        <v>137</v>
      </c>
      <c r="BA14" s="65">
        <v>1979</v>
      </c>
      <c r="BB14" s="65">
        <v>1979</v>
      </c>
      <c r="BC14" s="65">
        <v>25</v>
      </c>
      <c r="BD14" s="65">
        <v>10</v>
      </c>
      <c r="BE14" s="65">
        <v>229</v>
      </c>
      <c r="BF14" s="65">
        <v>757</v>
      </c>
      <c r="BG14" s="65"/>
      <c r="BH14" s="65">
        <v>6138</v>
      </c>
      <c r="BI14" s="65">
        <v>190</v>
      </c>
      <c r="BJ14" s="65"/>
      <c r="BK14" s="65">
        <f>G14</f>
        <v>1</v>
      </c>
      <c r="BL14" s="65">
        <f>S14</f>
        <v>6292.49</v>
      </c>
      <c r="BM14" s="65">
        <f>T14</f>
        <v>3867.9399999999996</v>
      </c>
      <c r="BN14" s="65"/>
      <c r="BO14" s="65"/>
      <c r="BP14" s="65"/>
      <c r="BQ14" s="65"/>
      <c r="BR14" s="65"/>
      <c r="BS14" s="65"/>
      <c r="BT14" s="65"/>
      <c r="BU14" s="65">
        <v>3</v>
      </c>
      <c r="BV14" s="65">
        <f>BB14</f>
        <v>1979</v>
      </c>
      <c r="BW14" s="65">
        <v>5180</v>
      </c>
      <c r="BX14" s="65"/>
      <c r="BY14" s="65">
        <f>AQ14</f>
        <v>4364</v>
      </c>
      <c r="BZ14" s="74"/>
      <c r="CA14" s="74"/>
      <c r="CB14" s="74"/>
      <c r="CC14" s="74"/>
      <c r="CD14" s="74"/>
      <c r="CE14" s="74"/>
      <c r="CF14" s="74"/>
      <c r="CG14" s="75"/>
      <c r="CH14" s="76"/>
      <c r="CI14" s="77">
        <v>736.72</v>
      </c>
      <c r="CJ14" s="78">
        <v>5378</v>
      </c>
      <c r="CK14" s="78">
        <f t="shared" si="0"/>
        <v>2897</v>
      </c>
      <c r="CL14" s="79" t="str">
        <f t="shared" si="1"/>
        <v>0</v>
      </c>
      <c r="CM14" s="80">
        <f t="shared" si="2"/>
        <v>0</v>
      </c>
      <c r="CN14" s="79">
        <f t="shared" si="3"/>
        <v>1</v>
      </c>
      <c r="CO14" s="80">
        <f t="shared" si="4"/>
        <v>4965</v>
      </c>
      <c r="CP14" s="80">
        <f t="shared" si="11"/>
        <v>1</v>
      </c>
      <c r="CQ14" s="80">
        <f t="shared" si="12"/>
        <v>4965</v>
      </c>
      <c r="CR14" s="52">
        <v>33</v>
      </c>
      <c r="CS14" s="33">
        <v>1</v>
      </c>
      <c r="CT14" s="33">
        <v>0</v>
      </c>
      <c r="CU14" s="33">
        <v>0</v>
      </c>
      <c r="CV14" s="33">
        <v>0</v>
      </c>
      <c r="CW14" s="33">
        <v>2</v>
      </c>
      <c r="CX14" s="33">
        <v>0</v>
      </c>
      <c r="CY14" s="33">
        <v>0</v>
      </c>
      <c r="CZ14" s="33">
        <v>0</v>
      </c>
      <c r="DA14" s="33">
        <v>0</v>
      </c>
      <c r="DB14" s="33">
        <v>76</v>
      </c>
      <c r="DC14" s="33">
        <v>17</v>
      </c>
      <c r="DD14" s="33">
        <v>17</v>
      </c>
      <c r="DE14" s="33">
        <v>3</v>
      </c>
      <c r="DF14" s="33">
        <v>0</v>
      </c>
      <c r="DG14" s="33">
        <v>0</v>
      </c>
      <c r="DH14" s="82" t="str">
        <f t="shared" si="13"/>
        <v>0</v>
      </c>
      <c r="DI14" s="82" t="str">
        <f t="shared" si="14"/>
        <v>0</v>
      </c>
      <c r="DJ14" s="83">
        <f t="shared" si="5"/>
        <v>10.979437392828583</v>
      </c>
    </row>
    <row r="15" spans="1:114" ht="15">
      <c r="A15" s="5" t="s">
        <v>107</v>
      </c>
      <c r="B15" s="60">
        <v>9</v>
      </c>
      <c r="C15" s="61" t="s">
        <v>82</v>
      </c>
      <c r="D15" s="62">
        <v>1987</v>
      </c>
      <c r="E15" s="63" t="s">
        <v>67</v>
      </c>
      <c r="F15" s="63" t="s">
        <v>28</v>
      </c>
      <c r="G15" s="64">
        <v>1</v>
      </c>
      <c r="H15" s="63">
        <v>9</v>
      </c>
      <c r="I15" s="63" t="s">
        <v>124</v>
      </c>
      <c r="J15" s="65">
        <v>30048</v>
      </c>
      <c r="K15" s="65">
        <v>1182</v>
      </c>
      <c r="L15" s="65" t="s">
        <v>192</v>
      </c>
      <c r="M15" s="65"/>
      <c r="N15" s="65">
        <v>1124</v>
      </c>
      <c r="O15" s="65">
        <v>105</v>
      </c>
      <c r="P15" s="65">
        <v>285</v>
      </c>
      <c r="Q15" s="65">
        <v>107</v>
      </c>
      <c r="R15" s="86">
        <v>267</v>
      </c>
      <c r="S15" s="67">
        <v>6820.46</v>
      </c>
      <c r="T15" s="68">
        <v>4214.3</v>
      </c>
      <c r="U15" s="87">
        <v>99</v>
      </c>
      <c r="V15" s="70">
        <v>6405.560000000005</v>
      </c>
      <c r="W15" s="70">
        <v>3956</v>
      </c>
      <c r="X15" s="71">
        <f t="shared" si="6"/>
        <v>6</v>
      </c>
      <c r="Y15" s="72">
        <f t="shared" si="7"/>
        <v>414.8999999999951</v>
      </c>
      <c r="Z15" s="72">
        <f t="shared" si="8"/>
        <v>258.3000000000002</v>
      </c>
      <c r="AA15" s="72"/>
      <c r="AB15" s="72"/>
      <c r="AC15" s="72"/>
      <c r="AD15" s="72">
        <f t="shared" si="9"/>
        <v>0</v>
      </c>
      <c r="AE15" s="68">
        <f t="shared" si="10"/>
        <v>0</v>
      </c>
      <c r="AF15" s="73"/>
      <c r="AG15" s="68">
        <v>0</v>
      </c>
      <c r="AH15" s="73"/>
      <c r="AI15" s="73"/>
      <c r="AJ15" s="73">
        <f t="shared" si="15"/>
        <v>6820.46</v>
      </c>
      <c r="AK15" s="65"/>
      <c r="AL15" s="65">
        <v>3</v>
      </c>
      <c r="AM15" s="65">
        <v>3</v>
      </c>
      <c r="AN15" s="65">
        <v>3</v>
      </c>
      <c r="AO15" s="65"/>
      <c r="AP15" s="65">
        <v>3</v>
      </c>
      <c r="AQ15" s="65">
        <v>5400</v>
      </c>
      <c r="AR15" s="65"/>
      <c r="AS15" s="65">
        <v>390</v>
      </c>
      <c r="AT15" s="65">
        <v>360</v>
      </c>
      <c r="AU15" s="65">
        <v>429</v>
      </c>
      <c r="AV15" s="65">
        <f t="shared" si="16"/>
        <v>6369</v>
      </c>
      <c r="AW15" s="65"/>
      <c r="AX15" s="65">
        <v>6369</v>
      </c>
      <c r="AY15" s="65">
        <v>2970</v>
      </c>
      <c r="AZ15" s="65">
        <v>185</v>
      </c>
      <c r="BA15" s="65">
        <v>1083</v>
      </c>
      <c r="BB15" s="65">
        <v>1083</v>
      </c>
      <c r="BC15" s="65">
        <v>51</v>
      </c>
      <c r="BD15" s="65">
        <v>6</v>
      </c>
      <c r="BE15" s="65">
        <v>390</v>
      </c>
      <c r="BF15" s="65">
        <v>1020</v>
      </c>
      <c r="BG15" s="65"/>
      <c r="BH15" s="65">
        <v>11400</v>
      </c>
      <c r="BI15" s="65">
        <v>4905</v>
      </c>
      <c r="BJ15" s="65">
        <v>135</v>
      </c>
      <c r="BK15" s="65"/>
      <c r="BL15" s="65"/>
      <c r="BM15" s="65"/>
      <c r="BN15" s="65">
        <f>G15</f>
        <v>1</v>
      </c>
      <c r="BO15" s="65">
        <f>S15</f>
        <v>6820.46</v>
      </c>
      <c r="BP15" s="65">
        <f>T15</f>
        <v>4214.3</v>
      </c>
      <c r="BQ15" s="65"/>
      <c r="BR15" s="65"/>
      <c r="BS15" s="65"/>
      <c r="BT15" s="65"/>
      <c r="BU15" s="65">
        <v>2</v>
      </c>
      <c r="BV15" s="65"/>
      <c r="BW15" s="65"/>
      <c r="BX15" s="65"/>
      <c r="BY15" s="65"/>
      <c r="BZ15" s="74"/>
      <c r="CA15" s="74"/>
      <c r="CB15" s="74"/>
      <c r="CC15" s="74"/>
      <c r="CD15" s="74"/>
      <c r="CE15" s="74"/>
      <c r="CF15" s="74"/>
      <c r="CG15" s="75"/>
      <c r="CH15" s="76"/>
      <c r="CI15" s="77">
        <v>1187.14</v>
      </c>
      <c r="CJ15" s="78">
        <v>2521</v>
      </c>
      <c r="CK15" s="78">
        <f t="shared" si="0"/>
        <v>1339</v>
      </c>
      <c r="CL15" s="79" t="str">
        <f t="shared" si="1"/>
        <v>0</v>
      </c>
      <c r="CM15" s="80">
        <f t="shared" si="2"/>
        <v>0</v>
      </c>
      <c r="CN15" s="79">
        <f t="shared" si="3"/>
        <v>1</v>
      </c>
      <c r="CO15" s="80">
        <f t="shared" si="4"/>
        <v>6369</v>
      </c>
      <c r="CP15" s="80">
        <f t="shared" si="11"/>
        <v>1</v>
      </c>
      <c r="CQ15" s="80">
        <f t="shared" si="12"/>
        <v>6369</v>
      </c>
      <c r="CR15" s="52">
        <v>32</v>
      </c>
      <c r="CS15" s="33">
        <v>1</v>
      </c>
      <c r="CT15" s="33">
        <v>0</v>
      </c>
      <c r="CU15" s="33">
        <v>0</v>
      </c>
      <c r="CV15" s="33">
        <v>0</v>
      </c>
      <c r="CW15" s="33">
        <v>2</v>
      </c>
      <c r="CX15" s="33">
        <v>0</v>
      </c>
      <c r="CY15" s="33">
        <v>0</v>
      </c>
      <c r="CZ15" s="33">
        <v>0</v>
      </c>
      <c r="DA15" s="33">
        <v>0</v>
      </c>
      <c r="DB15" s="33">
        <v>104</v>
      </c>
      <c r="DC15" s="33">
        <v>41</v>
      </c>
      <c r="DD15" s="33">
        <v>41</v>
      </c>
      <c r="DE15" s="33">
        <v>5</v>
      </c>
      <c r="DF15" s="33">
        <v>1</v>
      </c>
      <c r="DG15" s="33">
        <v>1</v>
      </c>
      <c r="DH15" s="82" t="str">
        <f t="shared" si="13"/>
        <v>0</v>
      </c>
      <c r="DI15" s="82" t="str">
        <f t="shared" si="14"/>
        <v>0</v>
      </c>
      <c r="DJ15" s="83">
        <f t="shared" si="5"/>
        <v>6.083167410995667</v>
      </c>
    </row>
    <row r="16" spans="1:114" s="6" customFormat="1" ht="15">
      <c r="A16" s="5" t="s">
        <v>107</v>
      </c>
      <c r="B16" s="60">
        <v>10</v>
      </c>
      <c r="C16" s="61" t="s">
        <v>83</v>
      </c>
      <c r="D16" s="62">
        <v>1951</v>
      </c>
      <c r="E16" s="63" t="s">
        <v>67</v>
      </c>
      <c r="F16" s="63" t="s">
        <v>29</v>
      </c>
      <c r="G16" s="64">
        <v>1</v>
      </c>
      <c r="H16" s="63">
        <v>5</v>
      </c>
      <c r="I16" s="63" t="s">
        <v>125</v>
      </c>
      <c r="J16" s="65">
        <v>36797</v>
      </c>
      <c r="K16" s="65">
        <v>1979</v>
      </c>
      <c r="L16" s="65" t="s">
        <v>193</v>
      </c>
      <c r="M16" s="65">
        <v>2869</v>
      </c>
      <c r="N16" s="65"/>
      <c r="O16" s="65">
        <v>80</v>
      </c>
      <c r="P16" s="65">
        <v>176</v>
      </c>
      <c r="Q16" s="65">
        <v>83</v>
      </c>
      <c r="R16" s="86">
        <v>131</v>
      </c>
      <c r="S16" s="67">
        <v>5274.6</v>
      </c>
      <c r="T16" s="68">
        <v>2903.7</v>
      </c>
      <c r="U16" s="87">
        <v>73</v>
      </c>
      <c r="V16" s="70">
        <v>4830.9</v>
      </c>
      <c r="W16" s="70">
        <v>2666.900000000001</v>
      </c>
      <c r="X16" s="71">
        <f t="shared" si="6"/>
        <v>7</v>
      </c>
      <c r="Y16" s="72">
        <f t="shared" si="7"/>
        <v>443.7000000000007</v>
      </c>
      <c r="Z16" s="72">
        <f t="shared" si="8"/>
        <v>236.79999999999882</v>
      </c>
      <c r="AA16" s="72"/>
      <c r="AB16" s="72"/>
      <c r="AC16" s="72"/>
      <c r="AD16" s="72">
        <f t="shared" si="9"/>
        <v>3793.18</v>
      </c>
      <c r="AE16" s="68">
        <f t="shared" si="10"/>
        <v>1069.1799999999998</v>
      </c>
      <c r="AF16" s="73"/>
      <c r="AG16" s="68">
        <f>3547.48-2478.3</f>
        <v>1069.1799999999998</v>
      </c>
      <c r="AH16" s="73">
        <f>245.7+2478.3</f>
        <v>2724</v>
      </c>
      <c r="AI16" s="73"/>
      <c r="AJ16" s="89">
        <f t="shared" si="15"/>
        <v>9067.78</v>
      </c>
      <c r="AK16" s="65"/>
      <c r="AL16" s="65"/>
      <c r="AM16" s="65">
        <v>5</v>
      </c>
      <c r="AN16" s="65"/>
      <c r="AO16" s="65"/>
      <c r="AP16" s="65">
        <v>1</v>
      </c>
      <c r="AQ16" s="65">
        <v>5950</v>
      </c>
      <c r="AR16" s="65">
        <v>1376</v>
      </c>
      <c r="AS16" s="65">
        <v>290</v>
      </c>
      <c r="AT16" s="65">
        <v>517</v>
      </c>
      <c r="AU16" s="65">
        <v>150</v>
      </c>
      <c r="AV16" s="65">
        <f t="shared" si="16"/>
        <v>4965</v>
      </c>
      <c r="AW16" s="65"/>
      <c r="AX16" s="65">
        <v>4965</v>
      </c>
      <c r="AY16" s="65"/>
      <c r="AZ16" s="65">
        <v>488</v>
      </c>
      <c r="BA16" s="65">
        <v>2400</v>
      </c>
      <c r="BB16" s="65">
        <v>2400</v>
      </c>
      <c r="BC16" s="65">
        <v>25</v>
      </c>
      <c r="BD16" s="65">
        <v>10</v>
      </c>
      <c r="BE16" s="65">
        <v>256</v>
      </c>
      <c r="BF16" s="65">
        <v>736</v>
      </c>
      <c r="BG16" s="65"/>
      <c r="BH16" s="65">
        <v>11102</v>
      </c>
      <c r="BI16" s="65">
        <v>190</v>
      </c>
      <c r="BJ16" s="65"/>
      <c r="BK16" s="65">
        <f>G16</f>
        <v>1</v>
      </c>
      <c r="BL16" s="65">
        <f>S16</f>
        <v>5274.6</v>
      </c>
      <c r="BM16" s="65">
        <f>T16</f>
        <v>2903.7</v>
      </c>
      <c r="BN16" s="65"/>
      <c r="BO16" s="65"/>
      <c r="BP16" s="65"/>
      <c r="BQ16" s="65"/>
      <c r="BR16" s="65"/>
      <c r="BS16" s="65"/>
      <c r="BT16" s="65"/>
      <c r="BU16" s="65">
        <v>5</v>
      </c>
      <c r="BV16" s="65">
        <f>BB16</f>
        <v>2400</v>
      </c>
      <c r="BW16" s="65">
        <v>5895</v>
      </c>
      <c r="BX16" s="65"/>
      <c r="BY16" s="65">
        <f>AQ16</f>
        <v>5950</v>
      </c>
      <c r="BZ16" s="74"/>
      <c r="CA16" s="74"/>
      <c r="CB16" s="74"/>
      <c r="CC16" s="74"/>
      <c r="CD16" s="74"/>
      <c r="CE16" s="74"/>
      <c r="CF16" s="74"/>
      <c r="CG16" s="75"/>
      <c r="CH16" s="76"/>
      <c r="CI16" s="77">
        <v>654.8</v>
      </c>
      <c r="CJ16" s="78">
        <v>4552</v>
      </c>
      <c r="CK16" s="78">
        <f t="shared" si="0"/>
        <v>2573</v>
      </c>
      <c r="CL16" s="79" t="str">
        <f t="shared" si="1"/>
        <v>0</v>
      </c>
      <c r="CM16" s="80">
        <f t="shared" si="2"/>
        <v>0</v>
      </c>
      <c r="CN16" s="79">
        <f t="shared" si="3"/>
        <v>1</v>
      </c>
      <c r="CO16" s="80">
        <f t="shared" si="4"/>
        <v>4965</v>
      </c>
      <c r="CP16" s="80">
        <f t="shared" si="11"/>
        <v>1</v>
      </c>
      <c r="CQ16" s="80">
        <f t="shared" si="12"/>
        <v>4965</v>
      </c>
      <c r="CR16" s="81">
        <v>31</v>
      </c>
      <c r="CS16" s="33">
        <v>1</v>
      </c>
      <c r="CT16" s="33">
        <v>0</v>
      </c>
      <c r="CU16" s="33">
        <v>0</v>
      </c>
      <c r="CV16" s="33">
        <v>0</v>
      </c>
      <c r="CW16" s="33">
        <v>2</v>
      </c>
      <c r="CX16" s="33">
        <v>0</v>
      </c>
      <c r="CY16" s="33">
        <v>0</v>
      </c>
      <c r="CZ16" s="33">
        <v>0</v>
      </c>
      <c r="DA16" s="33">
        <v>0</v>
      </c>
      <c r="DB16" s="33">
        <v>75</v>
      </c>
      <c r="DC16" s="33">
        <v>30</v>
      </c>
      <c r="DD16" s="33">
        <v>30</v>
      </c>
      <c r="DE16" s="33">
        <v>3</v>
      </c>
      <c r="DF16" s="33">
        <v>1</v>
      </c>
      <c r="DG16" s="33">
        <v>1</v>
      </c>
      <c r="DH16" s="82" t="str">
        <f t="shared" si="13"/>
        <v>0</v>
      </c>
      <c r="DI16" s="82" t="str">
        <f t="shared" si="14"/>
        <v>0</v>
      </c>
      <c r="DJ16" s="83">
        <f t="shared" si="5"/>
        <v>8.41201228529179</v>
      </c>
    </row>
    <row r="17" spans="1:114" s="6" customFormat="1" ht="15">
      <c r="A17" s="5" t="s">
        <v>107</v>
      </c>
      <c r="B17" s="60">
        <v>11</v>
      </c>
      <c r="C17" s="61" t="s">
        <v>84</v>
      </c>
      <c r="D17" s="62">
        <v>1987</v>
      </c>
      <c r="E17" s="63" t="s">
        <v>67</v>
      </c>
      <c r="F17" s="63" t="s">
        <v>28</v>
      </c>
      <c r="G17" s="64">
        <v>1</v>
      </c>
      <c r="H17" s="63">
        <v>9</v>
      </c>
      <c r="I17" s="63" t="s">
        <v>124</v>
      </c>
      <c r="J17" s="65">
        <v>29303</v>
      </c>
      <c r="K17" s="65">
        <v>1200</v>
      </c>
      <c r="L17" s="65" t="s">
        <v>194</v>
      </c>
      <c r="M17" s="65"/>
      <c r="N17" s="65">
        <v>1122</v>
      </c>
      <c r="O17" s="65">
        <v>105</v>
      </c>
      <c r="P17" s="65">
        <v>285</v>
      </c>
      <c r="Q17" s="65">
        <v>107</v>
      </c>
      <c r="R17" s="86">
        <v>206</v>
      </c>
      <c r="S17" s="67">
        <v>6814</v>
      </c>
      <c r="T17" s="68">
        <v>4203.1</v>
      </c>
      <c r="U17" s="87">
        <v>101</v>
      </c>
      <c r="V17" s="70">
        <v>6534.700000000002</v>
      </c>
      <c r="W17" s="70">
        <v>4032.800000000006</v>
      </c>
      <c r="X17" s="71">
        <f t="shared" si="6"/>
        <v>4</v>
      </c>
      <c r="Y17" s="72">
        <f t="shared" si="7"/>
        <v>279.29999999999836</v>
      </c>
      <c r="Z17" s="72">
        <f t="shared" si="8"/>
        <v>170.29999999999427</v>
      </c>
      <c r="AA17" s="72"/>
      <c r="AB17" s="72"/>
      <c r="AC17" s="72"/>
      <c r="AD17" s="72">
        <f t="shared" si="9"/>
        <v>0</v>
      </c>
      <c r="AE17" s="68">
        <f t="shared" si="10"/>
        <v>0</v>
      </c>
      <c r="AF17" s="73"/>
      <c r="AG17" s="68">
        <v>0</v>
      </c>
      <c r="AH17" s="73"/>
      <c r="AI17" s="73"/>
      <c r="AJ17" s="73">
        <f t="shared" si="15"/>
        <v>6814</v>
      </c>
      <c r="AK17" s="65"/>
      <c r="AL17" s="65">
        <v>3</v>
      </c>
      <c r="AM17" s="65">
        <v>3</v>
      </c>
      <c r="AN17" s="65">
        <v>3</v>
      </c>
      <c r="AO17" s="65"/>
      <c r="AP17" s="65">
        <v>3</v>
      </c>
      <c r="AQ17" s="65">
        <v>5400</v>
      </c>
      <c r="AR17" s="65"/>
      <c r="AS17" s="65">
        <v>345</v>
      </c>
      <c r="AT17" s="65">
        <v>396</v>
      </c>
      <c r="AU17" s="65">
        <v>429</v>
      </c>
      <c r="AV17" s="65">
        <f t="shared" si="16"/>
        <v>10869</v>
      </c>
      <c r="AW17" s="65"/>
      <c r="AX17" s="65">
        <v>10869</v>
      </c>
      <c r="AY17" s="65">
        <v>2970</v>
      </c>
      <c r="AZ17" s="65">
        <v>180</v>
      </c>
      <c r="BA17" s="65">
        <v>1081</v>
      </c>
      <c r="BB17" s="65">
        <v>1081</v>
      </c>
      <c r="BC17" s="65">
        <v>51</v>
      </c>
      <c r="BD17" s="65">
        <v>6</v>
      </c>
      <c r="BE17" s="65">
        <v>389</v>
      </c>
      <c r="BF17" s="65">
        <v>1020</v>
      </c>
      <c r="BG17" s="65"/>
      <c r="BH17" s="65">
        <v>11400</v>
      </c>
      <c r="BI17" s="65">
        <v>4905</v>
      </c>
      <c r="BJ17" s="65">
        <v>1345</v>
      </c>
      <c r="BK17" s="65"/>
      <c r="BL17" s="65"/>
      <c r="BM17" s="65"/>
      <c r="BN17" s="65">
        <f>G17</f>
        <v>1</v>
      </c>
      <c r="BO17" s="65">
        <f>S17</f>
        <v>6814</v>
      </c>
      <c r="BP17" s="65">
        <f>T17</f>
        <v>4203.1</v>
      </c>
      <c r="BQ17" s="65"/>
      <c r="BR17" s="65"/>
      <c r="BS17" s="65"/>
      <c r="BT17" s="65"/>
      <c r="BU17" s="65">
        <v>2</v>
      </c>
      <c r="BV17" s="65"/>
      <c r="BW17" s="65"/>
      <c r="BX17" s="65"/>
      <c r="BY17" s="65"/>
      <c r="BZ17" s="74"/>
      <c r="CA17" s="74"/>
      <c r="CB17" s="74"/>
      <c r="CC17" s="74"/>
      <c r="CD17" s="74"/>
      <c r="CE17" s="74"/>
      <c r="CF17" s="74"/>
      <c r="CG17" s="75"/>
      <c r="CH17" s="76"/>
      <c r="CI17" s="77">
        <v>1171.6</v>
      </c>
      <c r="CJ17" s="78">
        <v>2427</v>
      </c>
      <c r="CK17" s="78">
        <f t="shared" si="0"/>
        <v>1227</v>
      </c>
      <c r="CL17" s="79" t="str">
        <f t="shared" si="1"/>
        <v>0</v>
      </c>
      <c r="CM17" s="80">
        <f t="shared" si="2"/>
        <v>0</v>
      </c>
      <c r="CN17" s="79">
        <f t="shared" si="3"/>
        <v>1</v>
      </c>
      <c r="CO17" s="80">
        <f t="shared" si="4"/>
        <v>10869</v>
      </c>
      <c r="CP17" s="80">
        <f t="shared" si="11"/>
        <v>1</v>
      </c>
      <c r="CQ17" s="80">
        <f t="shared" si="12"/>
        <v>10869</v>
      </c>
      <c r="CR17" s="81">
        <v>29</v>
      </c>
      <c r="CS17" s="33">
        <v>1</v>
      </c>
      <c r="CT17" s="33">
        <v>0</v>
      </c>
      <c r="CU17" s="33">
        <v>0</v>
      </c>
      <c r="CV17" s="33">
        <v>0</v>
      </c>
      <c r="CW17" s="33">
        <v>2</v>
      </c>
      <c r="CX17" s="33">
        <v>0</v>
      </c>
      <c r="CY17" s="33">
        <v>0</v>
      </c>
      <c r="CZ17" s="33">
        <v>0</v>
      </c>
      <c r="DA17" s="33">
        <v>0</v>
      </c>
      <c r="DB17" s="33">
        <v>101</v>
      </c>
      <c r="DC17" s="33">
        <v>55</v>
      </c>
      <c r="DD17" s="33">
        <v>55</v>
      </c>
      <c r="DE17" s="33">
        <v>3</v>
      </c>
      <c r="DF17" s="33">
        <v>2</v>
      </c>
      <c r="DG17" s="33">
        <v>2</v>
      </c>
      <c r="DH17" s="82" t="str">
        <f t="shared" si="13"/>
        <v>0</v>
      </c>
      <c r="DI17" s="82" t="str">
        <f t="shared" si="14"/>
        <v>0</v>
      </c>
      <c r="DJ17" s="83">
        <f t="shared" si="5"/>
        <v>4.098914000587003</v>
      </c>
    </row>
    <row r="18" spans="1:114" s="6" customFormat="1" ht="15">
      <c r="A18" s="5" t="s">
        <v>107</v>
      </c>
      <c r="B18" s="60">
        <v>12</v>
      </c>
      <c r="C18" s="61" t="s">
        <v>85</v>
      </c>
      <c r="D18" s="62">
        <v>1954</v>
      </c>
      <c r="E18" s="63" t="s">
        <v>67</v>
      </c>
      <c r="F18" s="63" t="s">
        <v>29</v>
      </c>
      <c r="G18" s="64">
        <v>1</v>
      </c>
      <c r="H18" s="63">
        <v>5</v>
      </c>
      <c r="I18" s="63" t="s">
        <v>125</v>
      </c>
      <c r="J18" s="65">
        <v>37017</v>
      </c>
      <c r="K18" s="65">
        <v>2314</v>
      </c>
      <c r="L18" s="65" t="s">
        <v>195</v>
      </c>
      <c r="M18" s="65">
        <v>2838</v>
      </c>
      <c r="N18" s="65">
        <v>0</v>
      </c>
      <c r="O18" s="65">
        <v>95</v>
      </c>
      <c r="P18" s="65">
        <v>231</v>
      </c>
      <c r="Q18" s="65">
        <v>98</v>
      </c>
      <c r="R18" s="90">
        <v>203</v>
      </c>
      <c r="S18" s="67">
        <v>6262.63</v>
      </c>
      <c r="T18" s="68">
        <v>3781.77</v>
      </c>
      <c r="U18" s="91">
        <v>93</v>
      </c>
      <c r="V18" s="70">
        <v>6125.78</v>
      </c>
      <c r="W18" s="70">
        <v>3707.6599999999985</v>
      </c>
      <c r="X18" s="71">
        <f t="shared" si="6"/>
        <v>2</v>
      </c>
      <c r="Y18" s="72">
        <f t="shared" si="7"/>
        <v>136.85000000000036</v>
      </c>
      <c r="Z18" s="72">
        <f t="shared" si="8"/>
        <v>74.11000000000149</v>
      </c>
      <c r="AA18" s="72"/>
      <c r="AB18" s="72"/>
      <c r="AC18" s="72"/>
      <c r="AD18" s="72">
        <f t="shared" si="9"/>
        <v>1913.3</v>
      </c>
      <c r="AE18" s="68">
        <f t="shared" si="10"/>
        <v>1587.3</v>
      </c>
      <c r="AF18" s="73"/>
      <c r="AG18" s="68">
        <v>1587.3</v>
      </c>
      <c r="AH18" s="73">
        <v>326</v>
      </c>
      <c r="AI18" s="73"/>
      <c r="AJ18" s="73">
        <f t="shared" si="15"/>
        <v>8175.93</v>
      </c>
      <c r="AK18" s="65"/>
      <c r="AL18" s="65"/>
      <c r="AM18" s="65">
        <v>5</v>
      </c>
      <c r="AN18" s="65"/>
      <c r="AO18" s="65"/>
      <c r="AP18" s="65">
        <v>2</v>
      </c>
      <c r="AQ18" s="65">
        <v>5640</v>
      </c>
      <c r="AR18" s="65">
        <v>1500</v>
      </c>
      <c r="AS18" s="65">
        <v>505</v>
      </c>
      <c r="AT18" s="65">
        <v>490</v>
      </c>
      <c r="AU18" s="65">
        <v>150</v>
      </c>
      <c r="AV18" s="65">
        <f t="shared" si="16"/>
        <v>4965</v>
      </c>
      <c r="AW18" s="65"/>
      <c r="AX18" s="65">
        <v>4965</v>
      </c>
      <c r="AY18" s="65"/>
      <c r="AZ18" s="65">
        <v>144</v>
      </c>
      <c r="BA18" s="65">
        <v>2300</v>
      </c>
      <c r="BB18" s="65">
        <v>2300</v>
      </c>
      <c r="BC18" s="65">
        <v>25</v>
      </c>
      <c r="BD18" s="65">
        <v>12</v>
      </c>
      <c r="BE18" s="65">
        <v>420</v>
      </c>
      <c r="BF18" s="65">
        <v>1040</v>
      </c>
      <c r="BG18" s="65"/>
      <c r="BH18" s="65">
        <v>7110</v>
      </c>
      <c r="BI18" s="65">
        <v>190</v>
      </c>
      <c r="BJ18" s="65"/>
      <c r="BK18" s="65">
        <f>G18</f>
        <v>1</v>
      </c>
      <c r="BL18" s="65">
        <f>S18</f>
        <v>6262.63</v>
      </c>
      <c r="BM18" s="65">
        <f>T18</f>
        <v>3781.77</v>
      </c>
      <c r="BN18" s="65"/>
      <c r="BO18" s="65"/>
      <c r="BP18" s="65"/>
      <c r="BQ18" s="65"/>
      <c r="BR18" s="65"/>
      <c r="BS18" s="65"/>
      <c r="BT18" s="65"/>
      <c r="BU18" s="65">
        <v>6</v>
      </c>
      <c r="BV18" s="65">
        <f>BB18</f>
        <v>2300</v>
      </c>
      <c r="BW18" s="65">
        <v>6725</v>
      </c>
      <c r="BX18" s="65"/>
      <c r="BY18" s="65">
        <f>AQ18</f>
        <v>5640</v>
      </c>
      <c r="BZ18" s="74"/>
      <c r="CA18" s="74"/>
      <c r="CB18" s="74"/>
      <c r="CC18" s="74"/>
      <c r="CD18" s="74"/>
      <c r="CE18" s="74"/>
      <c r="CF18" s="74"/>
      <c r="CG18" s="75"/>
      <c r="CH18" s="76"/>
      <c r="CI18" s="77">
        <v>571.65</v>
      </c>
      <c r="CJ18" s="78">
        <v>5109</v>
      </c>
      <c r="CK18" s="78">
        <f t="shared" si="0"/>
        <v>2795</v>
      </c>
      <c r="CL18" s="79" t="str">
        <f t="shared" si="1"/>
        <v>0</v>
      </c>
      <c r="CM18" s="80">
        <f t="shared" si="2"/>
        <v>0</v>
      </c>
      <c r="CN18" s="79">
        <f t="shared" si="3"/>
        <v>1</v>
      </c>
      <c r="CO18" s="80">
        <f t="shared" si="4"/>
        <v>4965</v>
      </c>
      <c r="CP18" s="80">
        <f t="shared" si="11"/>
        <v>1</v>
      </c>
      <c r="CQ18" s="80">
        <f t="shared" si="12"/>
        <v>4965</v>
      </c>
      <c r="CR18" s="81">
        <v>38</v>
      </c>
      <c r="CS18" s="33">
        <v>1</v>
      </c>
      <c r="CT18" s="33">
        <v>0</v>
      </c>
      <c r="CU18" s="33">
        <v>0</v>
      </c>
      <c r="CV18" s="33">
        <v>0</v>
      </c>
      <c r="CW18" s="33">
        <v>1</v>
      </c>
      <c r="CX18" s="33">
        <v>0</v>
      </c>
      <c r="CY18" s="33">
        <v>0</v>
      </c>
      <c r="CZ18" s="33">
        <v>0</v>
      </c>
      <c r="DA18" s="33">
        <v>0</v>
      </c>
      <c r="DB18" s="33">
        <v>89</v>
      </c>
      <c r="DC18" s="33">
        <v>31</v>
      </c>
      <c r="DD18" s="33">
        <v>31</v>
      </c>
      <c r="DE18" s="33">
        <v>3</v>
      </c>
      <c r="DF18" s="33">
        <v>0</v>
      </c>
      <c r="DG18" s="33">
        <v>0</v>
      </c>
      <c r="DH18" s="82" t="str">
        <f t="shared" si="13"/>
        <v>0</v>
      </c>
      <c r="DI18" s="82" t="str">
        <f t="shared" si="14"/>
        <v>0</v>
      </c>
      <c r="DJ18" s="83">
        <f t="shared" si="5"/>
        <v>2.185184179809447</v>
      </c>
    </row>
    <row r="19" spans="1:114" s="6" customFormat="1" ht="15">
      <c r="A19" s="5" t="s">
        <v>107</v>
      </c>
      <c r="B19" s="60">
        <v>13</v>
      </c>
      <c r="C19" s="61" t="s">
        <v>86</v>
      </c>
      <c r="D19" s="62">
        <v>1953</v>
      </c>
      <c r="E19" s="63" t="s">
        <v>67</v>
      </c>
      <c r="F19" s="63" t="s">
        <v>29</v>
      </c>
      <c r="G19" s="64">
        <v>1</v>
      </c>
      <c r="H19" s="63">
        <v>5</v>
      </c>
      <c r="I19" s="63" t="s">
        <v>125</v>
      </c>
      <c r="J19" s="65">
        <v>37057</v>
      </c>
      <c r="K19" s="65">
        <v>2179</v>
      </c>
      <c r="L19" s="65" t="s">
        <v>196</v>
      </c>
      <c r="M19" s="65">
        <v>2834</v>
      </c>
      <c r="N19" s="65">
        <v>0</v>
      </c>
      <c r="O19" s="65">
        <f>105+1</f>
        <v>106</v>
      </c>
      <c r="P19" s="65">
        <f>264+3</f>
        <v>267</v>
      </c>
      <c r="Q19" s="65">
        <v>108</v>
      </c>
      <c r="R19" s="90">
        <v>220</v>
      </c>
      <c r="S19" s="67">
        <f>7370.8+76.24</f>
        <v>7447.04</v>
      </c>
      <c r="T19" s="68">
        <v>4572.07</v>
      </c>
      <c r="U19" s="91">
        <v>96</v>
      </c>
      <c r="V19" s="70">
        <v>6783.639999999999</v>
      </c>
      <c r="W19" s="70">
        <v>4172.290000000002</v>
      </c>
      <c r="X19" s="71">
        <f t="shared" si="6"/>
        <v>10</v>
      </c>
      <c r="Y19" s="72">
        <f t="shared" si="7"/>
        <v>663.4000000000005</v>
      </c>
      <c r="Z19" s="72">
        <f t="shared" si="8"/>
        <v>399.7799999999979</v>
      </c>
      <c r="AA19" s="72"/>
      <c r="AB19" s="72"/>
      <c r="AC19" s="72"/>
      <c r="AD19" s="72">
        <f t="shared" si="9"/>
        <v>902.1</v>
      </c>
      <c r="AE19" s="73">
        <f t="shared" si="10"/>
        <v>809.1</v>
      </c>
      <c r="AF19" s="73"/>
      <c r="AG19" s="73">
        <v>809.1</v>
      </c>
      <c r="AH19" s="73">
        <f>169.24-76.24</f>
        <v>93.00000000000001</v>
      </c>
      <c r="AI19" s="73"/>
      <c r="AJ19" s="73">
        <f t="shared" si="15"/>
        <v>8349.14</v>
      </c>
      <c r="AK19" s="65"/>
      <c r="AL19" s="65"/>
      <c r="AM19" s="65">
        <v>6</v>
      </c>
      <c r="AN19" s="65"/>
      <c r="AO19" s="65"/>
      <c r="AP19" s="65">
        <v>2</v>
      </c>
      <c r="AQ19" s="65">
        <v>5555</v>
      </c>
      <c r="AR19" s="65">
        <v>1500</v>
      </c>
      <c r="AS19" s="65">
        <v>450</v>
      </c>
      <c r="AT19" s="65">
        <v>483</v>
      </c>
      <c r="AU19" s="65">
        <v>180</v>
      </c>
      <c r="AV19" s="65">
        <f t="shared" si="16"/>
        <v>5921</v>
      </c>
      <c r="AW19" s="65"/>
      <c r="AX19" s="65">
        <f>5958-37</f>
        <v>5921</v>
      </c>
      <c r="AY19" s="65"/>
      <c r="AZ19" s="65">
        <v>141</v>
      </c>
      <c r="BA19" s="65">
        <v>2326</v>
      </c>
      <c r="BB19" s="65">
        <v>2326</v>
      </c>
      <c r="BC19" s="65">
        <v>30</v>
      </c>
      <c r="BD19" s="65">
        <v>12</v>
      </c>
      <c r="BE19" s="65">
        <f>380-4</f>
        <v>376</v>
      </c>
      <c r="BF19" s="65">
        <f>1022-1</f>
        <v>1021</v>
      </c>
      <c r="BG19" s="65"/>
      <c r="BH19" s="65">
        <f>7797-150</f>
        <v>7647</v>
      </c>
      <c r="BI19" s="65">
        <v>228</v>
      </c>
      <c r="BJ19" s="65"/>
      <c r="BK19" s="65">
        <f>G19</f>
        <v>1</v>
      </c>
      <c r="BL19" s="65">
        <f>S19</f>
        <v>7447.04</v>
      </c>
      <c r="BM19" s="65">
        <f>T19</f>
        <v>4572.07</v>
      </c>
      <c r="BN19" s="65"/>
      <c r="BO19" s="65"/>
      <c r="BP19" s="65"/>
      <c r="BQ19" s="65"/>
      <c r="BR19" s="65"/>
      <c r="BS19" s="65"/>
      <c r="BT19" s="65"/>
      <c r="BU19" s="65">
        <v>4</v>
      </c>
      <c r="BV19" s="65">
        <f>BB19</f>
        <v>2326</v>
      </c>
      <c r="BW19" s="65">
        <v>6455</v>
      </c>
      <c r="BX19" s="65"/>
      <c r="BY19" s="65">
        <f>AQ19</f>
        <v>5555</v>
      </c>
      <c r="BZ19" s="74"/>
      <c r="CA19" s="74"/>
      <c r="CB19" s="74"/>
      <c r="CC19" s="74"/>
      <c r="CD19" s="74"/>
      <c r="CE19" s="74"/>
      <c r="CF19" s="74"/>
      <c r="CG19" s="75"/>
      <c r="CH19" s="76"/>
      <c r="CI19" s="77">
        <v>767.27</v>
      </c>
      <c r="CJ19" s="78">
        <v>6077</v>
      </c>
      <c r="CK19" s="78">
        <f t="shared" si="0"/>
        <v>3898</v>
      </c>
      <c r="CL19" s="79" t="str">
        <f t="shared" si="1"/>
        <v>0</v>
      </c>
      <c r="CM19" s="80">
        <f t="shared" si="2"/>
        <v>0</v>
      </c>
      <c r="CN19" s="79">
        <f t="shared" si="3"/>
        <v>1</v>
      </c>
      <c r="CO19" s="80">
        <f t="shared" si="4"/>
        <v>5921</v>
      </c>
      <c r="CP19" s="80">
        <f t="shared" si="11"/>
        <v>1</v>
      </c>
      <c r="CQ19" s="80">
        <f t="shared" si="12"/>
        <v>5921</v>
      </c>
      <c r="CR19" s="81">
        <v>33</v>
      </c>
      <c r="CS19" s="33">
        <v>1</v>
      </c>
      <c r="CT19" s="33">
        <v>0</v>
      </c>
      <c r="CU19" s="33">
        <v>0</v>
      </c>
      <c r="CV19" s="33">
        <v>0</v>
      </c>
      <c r="CW19" s="33">
        <v>3</v>
      </c>
      <c r="CX19" s="33">
        <v>0</v>
      </c>
      <c r="CY19" s="33">
        <v>0</v>
      </c>
      <c r="CZ19" s="33">
        <v>0</v>
      </c>
      <c r="DA19" s="33">
        <v>0</v>
      </c>
      <c r="DB19" s="33">
        <v>94</v>
      </c>
      <c r="DC19" s="33">
        <v>34</v>
      </c>
      <c r="DD19" s="33">
        <v>34</v>
      </c>
      <c r="DE19" s="33">
        <v>6</v>
      </c>
      <c r="DF19" s="33">
        <v>2</v>
      </c>
      <c r="DG19" s="33">
        <v>2</v>
      </c>
      <c r="DH19" s="82" t="str">
        <f t="shared" si="13"/>
        <v>0</v>
      </c>
      <c r="DI19" s="82" t="str">
        <f t="shared" si="14"/>
        <v>0</v>
      </c>
      <c r="DJ19" s="83">
        <f t="shared" si="5"/>
        <v>8.908237366792719</v>
      </c>
    </row>
    <row r="20" spans="1:114" ht="15">
      <c r="A20" s="5" t="s">
        <v>107</v>
      </c>
      <c r="B20" s="60">
        <v>14</v>
      </c>
      <c r="C20" s="61" t="s">
        <v>87</v>
      </c>
      <c r="D20" s="62">
        <v>1988</v>
      </c>
      <c r="E20" s="63" t="s">
        <v>67</v>
      </c>
      <c r="F20" s="63" t="s">
        <v>28</v>
      </c>
      <c r="G20" s="64">
        <v>1</v>
      </c>
      <c r="H20" s="63">
        <v>9</v>
      </c>
      <c r="I20" s="63" t="s">
        <v>124</v>
      </c>
      <c r="J20" s="65">
        <v>29351</v>
      </c>
      <c r="K20" s="65">
        <v>1196</v>
      </c>
      <c r="L20" s="65" t="s">
        <v>197</v>
      </c>
      <c r="M20" s="65"/>
      <c r="N20" s="65">
        <v>1172</v>
      </c>
      <c r="O20" s="65">
        <v>101</v>
      </c>
      <c r="P20" s="65">
        <v>277</v>
      </c>
      <c r="Q20" s="65">
        <v>104</v>
      </c>
      <c r="R20" s="90">
        <v>239</v>
      </c>
      <c r="S20" s="67">
        <v>6552.2</v>
      </c>
      <c r="T20" s="68">
        <v>4090.7</v>
      </c>
      <c r="U20" s="91">
        <v>96</v>
      </c>
      <c r="V20" s="70">
        <v>6252.500000000004</v>
      </c>
      <c r="W20" s="70">
        <v>3909.1</v>
      </c>
      <c r="X20" s="71">
        <f t="shared" si="6"/>
        <v>5</v>
      </c>
      <c r="Y20" s="72">
        <f t="shared" si="7"/>
        <v>299.6999999999962</v>
      </c>
      <c r="Z20" s="72">
        <f t="shared" si="8"/>
        <v>181.5999999999999</v>
      </c>
      <c r="AA20" s="72"/>
      <c r="AB20" s="72"/>
      <c r="AC20" s="72"/>
      <c r="AD20" s="72">
        <f t="shared" si="9"/>
        <v>100.4</v>
      </c>
      <c r="AE20" s="68">
        <f t="shared" si="10"/>
        <v>100.4</v>
      </c>
      <c r="AF20" s="73"/>
      <c r="AG20" s="68">
        <v>100.4</v>
      </c>
      <c r="AH20" s="73"/>
      <c r="AI20" s="73"/>
      <c r="AJ20" s="73">
        <f t="shared" si="15"/>
        <v>6652.599999999999</v>
      </c>
      <c r="AK20" s="65"/>
      <c r="AL20" s="65">
        <v>3</v>
      </c>
      <c r="AM20" s="65">
        <v>3</v>
      </c>
      <c r="AN20" s="65">
        <v>3</v>
      </c>
      <c r="AO20" s="65"/>
      <c r="AP20" s="65">
        <v>3</v>
      </c>
      <c r="AQ20" s="65">
        <v>5400</v>
      </c>
      <c r="AR20" s="65"/>
      <c r="AS20" s="65">
        <v>360</v>
      </c>
      <c r="AT20" s="65">
        <v>396</v>
      </c>
      <c r="AU20" s="65">
        <v>429</v>
      </c>
      <c r="AV20" s="65">
        <f t="shared" si="16"/>
        <v>10869</v>
      </c>
      <c r="AW20" s="65"/>
      <c r="AX20" s="65">
        <v>10869</v>
      </c>
      <c r="AY20" s="65">
        <v>2970</v>
      </c>
      <c r="AZ20" s="65">
        <v>182</v>
      </c>
      <c r="BA20" s="65">
        <v>1071</v>
      </c>
      <c r="BB20" s="65">
        <v>1071</v>
      </c>
      <c r="BC20" s="65">
        <v>51</v>
      </c>
      <c r="BD20" s="65">
        <v>6</v>
      </c>
      <c r="BE20" s="65">
        <v>384</v>
      </c>
      <c r="BF20" s="65">
        <v>996</v>
      </c>
      <c r="BG20" s="65"/>
      <c r="BH20" s="65">
        <v>11400</v>
      </c>
      <c r="BI20" s="65">
        <v>4905</v>
      </c>
      <c r="BJ20" s="65">
        <v>135</v>
      </c>
      <c r="BK20" s="65"/>
      <c r="BL20" s="65"/>
      <c r="BM20" s="65"/>
      <c r="BN20" s="65">
        <f>G20</f>
        <v>1</v>
      </c>
      <c r="BO20" s="65">
        <f>S20</f>
        <v>6552.2</v>
      </c>
      <c r="BP20" s="65">
        <f>T20</f>
        <v>4090.7</v>
      </c>
      <c r="BQ20" s="65"/>
      <c r="BR20" s="65"/>
      <c r="BS20" s="65"/>
      <c r="BT20" s="65"/>
      <c r="BU20" s="65">
        <v>2</v>
      </c>
      <c r="BV20" s="65"/>
      <c r="BW20" s="65"/>
      <c r="BX20" s="65"/>
      <c r="BY20" s="65"/>
      <c r="BZ20" s="74"/>
      <c r="CA20" s="74"/>
      <c r="CB20" s="74"/>
      <c r="CC20" s="74"/>
      <c r="CD20" s="74"/>
      <c r="CE20" s="74"/>
      <c r="CF20" s="74"/>
      <c r="CG20" s="75"/>
      <c r="CH20" s="76"/>
      <c r="CI20" s="77">
        <v>1172.3</v>
      </c>
      <c r="CJ20" s="78">
        <v>2447</v>
      </c>
      <c r="CK20" s="78">
        <f t="shared" si="0"/>
        <v>1251</v>
      </c>
      <c r="CL20" s="79" t="str">
        <f t="shared" si="1"/>
        <v>0</v>
      </c>
      <c r="CM20" s="80">
        <f t="shared" si="2"/>
        <v>0</v>
      </c>
      <c r="CN20" s="79">
        <f t="shared" si="3"/>
        <v>1</v>
      </c>
      <c r="CO20" s="80">
        <f t="shared" si="4"/>
        <v>10869</v>
      </c>
      <c r="CP20" s="80">
        <f t="shared" si="11"/>
        <v>1</v>
      </c>
      <c r="CQ20" s="80">
        <f t="shared" si="12"/>
        <v>10869</v>
      </c>
      <c r="CR20" s="52">
        <v>28</v>
      </c>
      <c r="CS20" s="33">
        <v>1</v>
      </c>
      <c r="CT20" s="33">
        <v>0</v>
      </c>
      <c r="CU20" s="33">
        <v>0</v>
      </c>
      <c r="CV20" s="33">
        <v>0</v>
      </c>
      <c r="CW20" s="33">
        <v>2</v>
      </c>
      <c r="CX20" s="33">
        <v>0</v>
      </c>
      <c r="CY20" s="33">
        <v>0</v>
      </c>
      <c r="CZ20" s="33">
        <v>0</v>
      </c>
      <c r="DA20" s="33">
        <v>0</v>
      </c>
      <c r="DB20" s="33">
        <v>96</v>
      </c>
      <c r="DC20" s="33">
        <v>56</v>
      </c>
      <c r="DD20" s="33">
        <v>56</v>
      </c>
      <c r="DE20" s="33">
        <v>2</v>
      </c>
      <c r="DF20" s="33">
        <v>0</v>
      </c>
      <c r="DG20" s="33">
        <v>0</v>
      </c>
      <c r="DH20" s="82" t="str">
        <f t="shared" si="13"/>
        <v>0</v>
      </c>
      <c r="DI20" s="82" t="str">
        <f t="shared" si="14"/>
        <v>0</v>
      </c>
      <c r="DJ20" s="83">
        <f t="shared" si="5"/>
        <v>4.57403620158109</v>
      </c>
    </row>
    <row r="21" spans="1:114" ht="15">
      <c r="A21" s="5" t="s">
        <v>107</v>
      </c>
      <c r="B21" s="60">
        <v>15</v>
      </c>
      <c r="C21" s="61" t="s">
        <v>145</v>
      </c>
      <c r="D21" s="62">
        <v>1983</v>
      </c>
      <c r="E21" s="63" t="s">
        <v>67</v>
      </c>
      <c r="F21" s="63" t="s">
        <v>28</v>
      </c>
      <c r="G21" s="64">
        <v>1</v>
      </c>
      <c r="H21" s="63">
        <v>9</v>
      </c>
      <c r="I21" s="63" t="s">
        <v>124</v>
      </c>
      <c r="J21" s="65">
        <f>20281+19963+19980</f>
        <v>60224</v>
      </c>
      <c r="K21" s="65">
        <f>784+783+787</f>
        <v>2354</v>
      </c>
      <c r="L21" s="65" t="s">
        <v>198</v>
      </c>
      <c r="M21" s="65"/>
      <c r="N21" s="65">
        <f>738+725+751</f>
        <v>2214</v>
      </c>
      <c r="O21" s="65">
        <v>210</v>
      </c>
      <c r="P21" s="65">
        <v>588</v>
      </c>
      <c r="Q21" s="65">
        <v>212</v>
      </c>
      <c r="R21" s="90">
        <v>515</v>
      </c>
      <c r="S21" s="67">
        <v>13647</v>
      </c>
      <c r="T21" s="68">
        <v>8656.6</v>
      </c>
      <c r="U21" s="91">
        <v>193</v>
      </c>
      <c r="V21" s="88">
        <v>12518.100000000002</v>
      </c>
      <c r="W21" s="88">
        <v>7937.699999999997</v>
      </c>
      <c r="X21" s="71">
        <f t="shared" si="6"/>
        <v>17</v>
      </c>
      <c r="Y21" s="72">
        <f t="shared" si="7"/>
        <v>1128.8999999999978</v>
      </c>
      <c r="Z21" s="72">
        <f t="shared" si="8"/>
        <v>718.9000000000033</v>
      </c>
      <c r="AA21" s="72"/>
      <c r="AB21" s="72"/>
      <c r="AC21" s="72"/>
      <c r="AD21" s="72">
        <f t="shared" si="9"/>
        <v>0</v>
      </c>
      <c r="AE21" s="68">
        <f t="shared" si="10"/>
        <v>0</v>
      </c>
      <c r="AF21" s="73"/>
      <c r="AG21" s="68">
        <v>0</v>
      </c>
      <c r="AH21" s="73"/>
      <c r="AI21" s="73"/>
      <c r="AJ21" s="73">
        <f t="shared" si="15"/>
        <v>13647</v>
      </c>
      <c r="AK21" s="65"/>
      <c r="AL21" s="65">
        <f>2+2+2</f>
        <v>6</v>
      </c>
      <c r="AM21" s="65">
        <f>2+2+2</f>
        <v>6</v>
      </c>
      <c r="AN21" s="65">
        <f>2+2+2</f>
        <v>6</v>
      </c>
      <c r="AO21" s="65"/>
      <c r="AP21" s="65">
        <f>2+2+2</f>
        <v>6</v>
      </c>
      <c r="AQ21" s="65">
        <f>3930+3930+3930</f>
        <v>11790</v>
      </c>
      <c r="AR21" s="65">
        <f>0+583+0</f>
        <v>583</v>
      </c>
      <c r="AS21" s="65">
        <f>0+945+0</f>
        <v>945</v>
      </c>
      <c r="AT21" s="65">
        <f>200+197+262</f>
        <v>659</v>
      </c>
      <c r="AU21" s="65">
        <f>286+286+286</f>
        <v>858</v>
      </c>
      <c r="AV21" s="65">
        <f t="shared" si="16"/>
        <v>21738</v>
      </c>
      <c r="AW21" s="65">
        <f>7246+7246+7246</f>
        <v>21738</v>
      </c>
      <c r="AX21" s="65"/>
      <c r="AY21" s="65">
        <f>2140+2140+2140</f>
        <v>6420</v>
      </c>
      <c r="AZ21" s="65">
        <f>165+132+171</f>
        <v>468</v>
      </c>
      <c r="BA21" s="65">
        <f>738+725+729</f>
        <v>2192</v>
      </c>
      <c r="BB21" s="65">
        <f>738+725+729</f>
        <v>2192</v>
      </c>
      <c r="BC21" s="65">
        <f>34+34+34</f>
        <v>102</v>
      </c>
      <c r="BD21" s="65">
        <f>4+4+4</f>
        <v>12</v>
      </c>
      <c r="BE21" s="65">
        <f>266+266+266</f>
        <v>798</v>
      </c>
      <c r="BF21" s="65">
        <f>686+686+686</f>
        <v>2058</v>
      </c>
      <c r="BG21" s="65"/>
      <c r="BH21" s="65">
        <f>7600+7600+7600</f>
        <v>22800</v>
      </c>
      <c r="BI21" s="65">
        <f>3270+3270+3270</f>
        <v>9810</v>
      </c>
      <c r="BJ21" s="65">
        <f>90+90+90</f>
        <v>270</v>
      </c>
      <c r="BK21" s="65"/>
      <c r="BL21" s="65"/>
      <c r="BM21" s="65"/>
      <c r="BN21" s="65">
        <f>G21</f>
        <v>1</v>
      </c>
      <c r="BO21" s="65">
        <f>S21</f>
        <v>13647</v>
      </c>
      <c r="BP21" s="65">
        <f>T21</f>
        <v>8656.6</v>
      </c>
      <c r="BQ21" s="65"/>
      <c r="BR21" s="65"/>
      <c r="BS21" s="65"/>
      <c r="BT21" s="65"/>
      <c r="BU21" s="65">
        <v>2</v>
      </c>
      <c r="BV21" s="65"/>
      <c r="BW21" s="65"/>
      <c r="BX21" s="65"/>
      <c r="BY21" s="65"/>
      <c r="BZ21" s="74"/>
      <c r="CA21" s="74"/>
      <c r="CB21" s="74"/>
      <c r="CC21" s="74"/>
      <c r="CD21" s="74"/>
      <c r="CE21" s="74"/>
      <c r="CF21" s="74"/>
      <c r="CG21" s="75"/>
      <c r="CH21" s="76"/>
      <c r="CI21" s="77">
        <v>2323.5</v>
      </c>
      <c r="CJ21" s="78">
        <f>1890+1585+1628</f>
        <v>5103</v>
      </c>
      <c r="CK21" s="78">
        <f t="shared" si="0"/>
        <v>2749</v>
      </c>
      <c r="CL21" s="79">
        <f t="shared" si="1"/>
        <v>1</v>
      </c>
      <c r="CM21" s="80">
        <f t="shared" si="2"/>
        <v>21738</v>
      </c>
      <c r="CN21" s="79" t="str">
        <f t="shared" si="3"/>
        <v>0</v>
      </c>
      <c r="CO21" s="80">
        <f t="shared" si="4"/>
        <v>0</v>
      </c>
      <c r="CP21" s="80">
        <f t="shared" si="11"/>
        <v>1</v>
      </c>
      <c r="CQ21" s="80">
        <f t="shared" si="12"/>
        <v>21738</v>
      </c>
      <c r="CR21" s="52">
        <v>34</v>
      </c>
      <c r="CS21" s="33">
        <v>1</v>
      </c>
      <c r="CT21" s="33">
        <v>0</v>
      </c>
      <c r="CU21" s="33">
        <v>0</v>
      </c>
      <c r="CV21" s="33">
        <v>0</v>
      </c>
      <c r="CW21" s="33">
        <v>6</v>
      </c>
      <c r="CX21" s="33">
        <v>0</v>
      </c>
      <c r="CY21" s="33">
        <v>0</v>
      </c>
      <c r="CZ21" s="33">
        <v>0</v>
      </c>
      <c r="DA21" s="33">
        <v>0</v>
      </c>
      <c r="DB21" s="33">
        <v>200</v>
      </c>
      <c r="DC21" s="33">
        <v>101</v>
      </c>
      <c r="DD21" s="33">
        <v>101</v>
      </c>
      <c r="DE21" s="33">
        <v>11</v>
      </c>
      <c r="DF21" s="33">
        <v>2</v>
      </c>
      <c r="DG21" s="33">
        <v>2</v>
      </c>
      <c r="DH21" s="82" t="str">
        <f t="shared" si="13"/>
        <v>0</v>
      </c>
      <c r="DI21" s="82" t="str">
        <f t="shared" si="14"/>
        <v>0</v>
      </c>
      <c r="DJ21" s="83">
        <f t="shared" si="5"/>
        <v>8.27214772477466</v>
      </c>
    </row>
    <row r="22" spans="1:114" ht="15">
      <c r="A22" s="5" t="s">
        <v>107</v>
      </c>
      <c r="B22" s="60">
        <v>16</v>
      </c>
      <c r="C22" s="61" t="s">
        <v>88</v>
      </c>
      <c r="D22" s="62">
        <v>1954</v>
      </c>
      <c r="E22" s="63" t="s">
        <v>67</v>
      </c>
      <c r="F22" s="63" t="s">
        <v>29</v>
      </c>
      <c r="G22" s="64">
        <v>1</v>
      </c>
      <c r="H22" s="63">
        <v>5</v>
      </c>
      <c r="I22" s="63" t="s">
        <v>125</v>
      </c>
      <c r="J22" s="65">
        <v>44928</v>
      </c>
      <c r="K22" s="65">
        <v>2348</v>
      </c>
      <c r="L22" s="65" t="s">
        <v>199</v>
      </c>
      <c r="M22" s="65">
        <v>2814</v>
      </c>
      <c r="N22" s="65">
        <v>0</v>
      </c>
      <c r="O22" s="65">
        <v>101</v>
      </c>
      <c r="P22" s="65">
        <v>256</v>
      </c>
      <c r="Q22" s="65">
        <v>104</v>
      </c>
      <c r="R22" s="90">
        <v>213</v>
      </c>
      <c r="S22" s="67">
        <v>7027.81</v>
      </c>
      <c r="T22" s="68">
        <v>4286.82</v>
      </c>
      <c r="U22" s="91">
        <v>93</v>
      </c>
      <c r="V22" s="70">
        <v>6448.669999999999</v>
      </c>
      <c r="W22" s="70">
        <v>3934.6099999999988</v>
      </c>
      <c r="X22" s="71">
        <f t="shared" si="6"/>
        <v>8</v>
      </c>
      <c r="Y22" s="72">
        <f t="shared" si="7"/>
        <v>579.1400000000012</v>
      </c>
      <c r="Z22" s="72">
        <f t="shared" si="8"/>
        <v>352.21000000000095</v>
      </c>
      <c r="AA22" s="72"/>
      <c r="AB22" s="72"/>
      <c r="AC22" s="72"/>
      <c r="AD22" s="72">
        <f t="shared" si="9"/>
        <v>2769.62</v>
      </c>
      <c r="AE22" s="68">
        <f t="shared" si="10"/>
        <v>2432.75</v>
      </c>
      <c r="AF22" s="73"/>
      <c r="AG22" s="68">
        <v>2432.75</v>
      </c>
      <c r="AH22" s="73">
        <v>336.87</v>
      </c>
      <c r="AI22" s="73"/>
      <c r="AJ22" s="73">
        <f t="shared" si="15"/>
        <v>9797.43</v>
      </c>
      <c r="AK22" s="65"/>
      <c r="AL22" s="65"/>
      <c r="AM22" s="65">
        <v>6</v>
      </c>
      <c r="AN22" s="65"/>
      <c r="AO22" s="65"/>
      <c r="AP22" s="65">
        <v>2</v>
      </c>
      <c r="AQ22" s="65">
        <v>5540</v>
      </c>
      <c r="AR22" s="65">
        <v>585</v>
      </c>
      <c r="AS22" s="65">
        <v>550</v>
      </c>
      <c r="AT22" s="65">
        <v>321</v>
      </c>
      <c r="AU22" s="65">
        <v>180</v>
      </c>
      <c r="AV22" s="65">
        <f t="shared" si="16"/>
        <v>5958</v>
      </c>
      <c r="AW22" s="65"/>
      <c r="AX22" s="65">
        <v>5958</v>
      </c>
      <c r="AY22" s="65"/>
      <c r="AZ22" s="65">
        <v>137</v>
      </c>
      <c r="BA22" s="65">
        <v>2400</v>
      </c>
      <c r="BB22" s="65">
        <v>2400</v>
      </c>
      <c r="BC22" s="65">
        <v>30</v>
      </c>
      <c r="BD22" s="65">
        <v>12</v>
      </c>
      <c r="BE22" s="65">
        <v>396</v>
      </c>
      <c r="BF22" s="65">
        <v>1002</v>
      </c>
      <c r="BG22" s="65"/>
      <c r="BH22" s="65">
        <v>6333</v>
      </c>
      <c r="BI22" s="65">
        <v>228</v>
      </c>
      <c r="BJ22" s="65"/>
      <c r="BK22" s="65">
        <f>G22</f>
        <v>1</v>
      </c>
      <c r="BL22" s="65">
        <f>S22</f>
        <v>7027.81</v>
      </c>
      <c r="BM22" s="65">
        <f>T22</f>
        <v>4286.82</v>
      </c>
      <c r="BN22" s="65"/>
      <c r="BO22" s="65"/>
      <c r="BP22" s="65"/>
      <c r="BQ22" s="65"/>
      <c r="BR22" s="65"/>
      <c r="BS22" s="65"/>
      <c r="BT22" s="65"/>
      <c r="BU22" s="65">
        <v>4</v>
      </c>
      <c r="BV22" s="65">
        <f>BB22</f>
        <v>2400</v>
      </c>
      <c r="BW22" s="65">
        <v>6455</v>
      </c>
      <c r="BX22" s="65"/>
      <c r="BY22" s="65">
        <f>AQ22</f>
        <v>5540</v>
      </c>
      <c r="BZ22" s="74"/>
      <c r="CA22" s="74"/>
      <c r="CB22" s="74"/>
      <c r="CC22" s="74"/>
      <c r="CD22" s="74"/>
      <c r="CE22" s="74"/>
      <c r="CF22" s="74"/>
      <c r="CG22" s="75"/>
      <c r="CH22" s="76"/>
      <c r="CI22" s="77">
        <v>805.2</v>
      </c>
      <c r="CJ22" s="78">
        <v>6185</v>
      </c>
      <c r="CK22" s="78">
        <f t="shared" si="0"/>
        <v>3837</v>
      </c>
      <c r="CL22" s="79" t="str">
        <f t="shared" si="1"/>
        <v>0</v>
      </c>
      <c r="CM22" s="80">
        <f t="shared" si="2"/>
        <v>0</v>
      </c>
      <c r="CN22" s="79">
        <f t="shared" si="3"/>
        <v>1</v>
      </c>
      <c r="CO22" s="80">
        <f t="shared" si="4"/>
        <v>5958</v>
      </c>
      <c r="CP22" s="80">
        <f t="shared" si="11"/>
        <v>1</v>
      </c>
      <c r="CQ22" s="80">
        <f t="shared" si="12"/>
        <v>5958</v>
      </c>
      <c r="CR22" s="52">
        <v>37</v>
      </c>
      <c r="CS22" s="33">
        <v>1</v>
      </c>
      <c r="CT22" s="33">
        <v>0</v>
      </c>
      <c r="CU22" s="33">
        <v>0</v>
      </c>
      <c r="CV22" s="33">
        <v>0</v>
      </c>
      <c r="CW22" s="33">
        <v>3</v>
      </c>
      <c r="CX22" s="33">
        <v>0</v>
      </c>
      <c r="CY22" s="33">
        <v>0</v>
      </c>
      <c r="CZ22" s="33">
        <v>0</v>
      </c>
      <c r="DA22" s="33">
        <v>0</v>
      </c>
      <c r="DB22" s="33">
        <v>95</v>
      </c>
      <c r="DC22" s="33">
        <v>24</v>
      </c>
      <c r="DD22" s="33">
        <v>24</v>
      </c>
      <c r="DE22" s="33">
        <v>5</v>
      </c>
      <c r="DF22" s="33">
        <v>1</v>
      </c>
      <c r="DG22" s="33">
        <v>1</v>
      </c>
      <c r="DH22" s="82" t="str">
        <f t="shared" si="13"/>
        <v>0</v>
      </c>
      <c r="DI22" s="82" t="str">
        <f t="shared" si="14"/>
        <v>0</v>
      </c>
      <c r="DJ22" s="83">
        <f t="shared" si="5"/>
        <v>8.24068948932884</v>
      </c>
    </row>
    <row r="23" spans="1:114" ht="15">
      <c r="A23" s="5" t="s">
        <v>107</v>
      </c>
      <c r="B23" s="60">
        <v>17</v>
      </c>
      <c r="C23" s="61" t="s">
        <v>89</v>
      </c>
      <c r="D23" s="62">
        <v>1983</v>
      </c>
      <c r="E23" s="63" t="s">
        <v>67</v>
      </c>
      <c r="F23" s="63" t="s">
        <v>28</v>
      </c>
      <c r="G23" s="64">
        <v>1</v>
      </c>
      <c r="H23" s="63">
        <v>9</v>
      </c>
      <c r="I23" s="63" t="s">
        <v>124</v>
      </c>
      <c r="J23" s="65">
        <v>29977</v>
      </c>
      <c r="K23" s="65">
        <v>1181</v>
      </c>
      <c r="L23" s="65" t="s">
        <v>200</v>
      </c>
      <c r="M23" s="65"/>
      <c r="N23" s="65">
        <v>1081</v>
      </c>
      <c r="O23" s="65">
        <v>105</v>
      </c>
      <c r="P23" s="65">
        <v>285</v>
      </c>
      <c r="Q23" s="65">
        <v>107</v>
      </c>
      <c r="R23" s="90">
        <v>243</v>
      </c>
      <c r="S23" s="67">
        <v>6797.1</v>
      </c>
      <c r="T23" s="68">
        <v>4225</v>
      </c>
      <c r="U23" s="91">
        <v>98</v>
      </c>
      <c r="V23" s="70">
        <v>6355.300000000001</v>
      </c>
      <c r="W23" s="70">
        <v>3946.3999999999987</v>
      </c>
      <c r="X23" s="71">
        <f t="shared" si="6"/>
        <v>7</v>
      </c>
      <c r="Y23" s="72">
        <f t="shared" si="7"/>
        <v>441.7999999999993</v>
      </c>
      <c r="Z23" s="72">
        <f t="shared" si="8"/>
        <v>278.6000000000013</v>
      </c>
      <c r="AA23" s="72"/>
      <c r="AB23" s="72"/>
      <c r="AC23" s="72"/>
      <c r="AD23" s="72">
        <f t="shared" si="9"/>
        <v>0</v>
      </c>
      <c r="AE23" s="68">
        <f t="shared" si="10"/>
        <v>0</v>
      </c>
      <c r="AF23" s="73"/>
      <c r="AG23" s="68">
        <v>0</v>
      </c>
      <c r="AH23" s="73"/>
      <c r="AI23" s="73"/>
      <c r="AJ23" s="73">
        <f t="shared" si="15"/>
        <v>6797.1</v>
      </c>
      <c r="AK23" s="65"/>
      <c r="AL23" s="65">
        <v>3</v>
      </c>
      <c r="AM23" s="65">
        <v>3</v>
      </c>
      <c r="AN23" s="65">
        <v>3</v>
      </c>
      <c r="AO23" s="65"/>
      <c r="AP23" s="65">
        <v>3</v>
      </c>
      <c r="AQ23" s="65">
        <v>5400</v>
      </c>
      <c r="AR23" s="65">
        <v>583</v>
      </c>
      <c r="AS23" s="65">
        <v>276</v>
      </c>
      <c r="AT23" s="65">
        <v>360</v>
      </c>
      <c r="AU23" s="65">
        <v>429</v>
      </c>
      <c r="AV23" s="65">
        <f t="shared" si="16"/>
        <v>10869</v>
      </c>
      <c r="AW23" s="65">
        <v>3623</v>
      </c>
      <c r="AX23" s="65">
        <v>7246</v>
      </c>
      <c r="AY23" s="65">
        <v>2970</v>
      </c>
      <c r="AZ23" s="65">
        <v>260</v>
      </c>
      <c r="BA23" s="65">
        <v>1085</v>
      </c>
      <c r="BB23" s="65">
        <v>1085</v>
      </c>
      <c r="BC23" s="65">
        <v>51</v>
      </c>
      <c r="BD23" s="65">
        <v>6</v>
      </c>
      <c r="BE23" s="65">
        <v>381</v>
      </c>
      <c r="BF23" s="65">
        <v>1011</v>
      </c>
      <c r="BG23" s="65"/>
      <c r="BH23" s="65">
        <v>11400</v>
      </c>
      <c r="BI23" s="65">
        <v>4905</v>
      </c>
      <c r="BJ23" s="65">
        <v>135</v>
      </c>
      <c r="BK23" s="65"/>
      <c r="BL23" s="65"/>
      <c r="BM23" s="65"/>
      <c r="BN23" s="65">
        <f>G23</f>
        <v>1</v>
      </c>
      <c r="BO23" s="65">
        <f>S23</f>
        <v>6797.1</v>
      </c>
      <c r="BP23" s="65">
        <f>T23</f>
        <v>4225</v>
      </c>
      <c r="BQ23" s="65"/>
      <c r="BR23" s="65"/>
      <c r="BS23" s="65"/>
      <c r="BT23" s="65"/>
      <c r="BU23" s="65">
        <v>2</v>
      </c>
      <c r="BV23" s="65"/>
      <c r="BW23" s="65"/>
      <c r="BX23" s="65"/>
      <c r="BY23" s="65"/>
      <c r="BZ23" s="74"/>
      <c r="CA23" s="74"/>
      <c r="CB23" s="74"/>
      <c r="CC23" s="74"/>
      <c r="CD23" s="74"/>
      <c r="CE23" s="74"/>
      <c r="CF23" s="74"/>
      <c r="CG23" s="75"/>
      <c r="CH23" s="76"/>
      <c r="CI23" s="77">
        <v>1219.6</v>
      </c>
      <c r="CJ23" s="78">
        <v>2139</v>
      </c>
      <c r="CK23" s="78">
        <f t="shared" si="0"/>
        <v>958</v>
      </c>
      <c r="CL23" s="79"/>
      <c r="CM23" s="80">
        <f t="shared" si="2"/>
        <v>3623</v>
      </c>
      <c r="CN23" s="79">
        <f t="shared" si="3"/>
        <v>1</v>
      </c>
      <c r="CO23" s="80">
        <f t="shared" si="4"/>
        <v>7246</v>
      </c>
      <c r="CP23" s="80">
        <f t="shared" si="11"/>
        <v>1</v>
      </c>
      <c r="CQ23" s="80">
        <f t="shared" si="12"/>
        <v>10869</v>
      </c>
      <c r="CR23" s="52">
        <v>13</v>
      </c>
      <c r="CS23" s="33">
        <v>1</v>
      </c>
      <c r="CT23" s="33">
        <v>1</v>
      </c>
      <c r="CU23" s="33">
        <v>1</v>
      </c>
      <c r="CV23" s="33">
        <v>1</v>
      </c>
      <c r="CW23" s="33">
        <v>2</v>
      </c>
      <c r="CX23" s="33">
        <v>0</v>
      </c>
      <c r="CY23" s="33">
        <v>0</v>
      </c>
      <c r="CZ23" s="33">
        <v>0</v>
      </c>
      <c r="DA23" s="33">
        <v>3</v>
      </c>
      <c r="DB23" s="33">
        <v>101</v>
      </c>
      <c r="DC23" s="33">
        <v>46</v>
      </c>
      <c r="DD23" s="33">
        <v>46</v>
      </c>
      <c r="DE23" s="33">
        <v>3</v>
      </c>
      <c r="DF23" s="33">
        <v>2</v>
      </c>
      <c r="DG23" s="33">
        <v>2</v>
      </c>
      <c r="DH23" s="82" t="str">
        <f t="shared" si="13"/>
        <v>0</v>
      </c>
      <c r="DI23" s="82" t="str">
        <f t="shared" si="14"/>
        <v>0</v>
      </c>
      <c r="DJ23" s="83">
        <f t="shared" si="5"/>
        <v>6.499830810198456</v>
      </c>
    </row>
    <row r="24" spans="1:114" ht="15">
      <c r="A24" s="5" t="s">
        <v>107</v>
      </c>
      <c r="B24" s="60">
        <v>18</v>
      </c>
      <c r="C24" s="61" t="s">
        <v>90</v>
      </c>
      <c r="D24" s="62">
        <v>1954</v>
      </c>
      <c r="E24" s="63" t="s">
        <v>67</v>
      </c>
      <c r="F24" s="63" t="s">
        <v>29</v>
      </c>
      <c r="G24" s="64">
        <v>1</v>
      </c>
      <c r="H24" s="63">
        <v>6</v>
      </c>
      <c r="I24" s="63" t="s">
        <v>125</v>
      </c>
      <c r="J24" s="65">
        <v>36789</v>
      </c>
      <c r="K24" s="65">
        <v>2146</v>
      </c>
      <c r="L24" s="65" t="s">
        <v>201</v>
      </c>
      <c r="M24" s="65">
        <v>3037</v>
      </c>
      <c r="N24" s="65">
        <v>0</v>
      </c>
      <c r="O24" s="65">
        <v>100</v>
      </c>
      <c r="P24" s="65">
        <v>299</v>
      </c>
      <c r="Q24" s="65">
        <v>103</v>
      </c>
      <c r="R24" s="66">
        <v>180</v>
      </c>
      <c r="S24" s="67">
        <v>7919.92</v>
      </c>
      <c r="T24" s="68">
        <v>4996.67</v>
      </c>
      <c r="U24" s="69">
        <v>71</v>
      </c>
      <c r="V24" s="70">
        <v>5579.719999999999</v>
      </c>
      <c r="W24" s="70">
        <v>3536.7799999999993</v>
      </c>
      <c r="X24" s="71">
        <f t="shared" si="6"/>
        <v>29</v>
      </c>
      <c r="Y24" s="72">
        <f t="shared" si="7"/>
        <v>2340.2000000000007</v>
      </c>
      <c r="Z24" s="72">
        <f t="shared" si="8"/>
        <v>1459.8900000000008</v>
      </c>
      <c r="AA24" s="72"/>
      <c r="AB24" s="72"/>
      <c r="AC24" s="72"/>
      <c r="AD24" s="72">
        <f t="shared" si="9"/>
        <v>364.6</v>
      </c>
      <c r="AE24" s="68">
        <f t="shared" si="10"/>
        <v>0</v>
      </c>
      <c r="AF24" s="73"/>
      <c r="AG24" s="68">
        <v>0</v>
      </c>
      <c r="AH24" s="73">
        <v>364.6</v>
      </c>
      <c r="AI24" s="73"/>
      <c r="AJ24" s="73">
        <f t="shared" si="15"/>
        <v>8284.52</v>
      </c>
      <c r="AK24" s="65"/>
      <c r="AL24" s="65"/>
      <c r="AM24" s="65">
        <v>5</v>
      </c>
      <c r="AN24" s="65"/>
      <c r="AO24" s="65"/>
      <c r="AP24" s="65">
        <v>1</v>
      </c>
      <c r="AQ24" s="65">
        <v>5554</v>
      </c>
      <c r="AR24" s="65">
        <v>583</v>
      </c>
      <c r="AS24" s="65">
        <v>360</v>
      </c>
      <c r="AT24" s="65">
        <v>386</v>
      </c>
      <c r="AU24" s="65">
        <v>150</v>
      </c>
      <c r="AV24" s="65">
        <f t="shared" si="16"/>
        <v>5705</v>
      </c>
      <c r="AW24" s="65"/>
      <c r="AX24" s="65">
        <v>5705</v>
      </c>
      <c r="AY24" s="65"/>
      <c r="AZ24" s="65">
        <v>126</v>
      </c>
      <c r="BA24" s="65">
        <v>2105</v>
      </c>
      <c r="BB24" s="65">
        <v>2105</v>
      </c>
      <c r="BC24" s="65">
        <v>25</v>
      </c>
      <c r="BD24" s="65">
        <v>10</v>
      </c>
      <c r="BE24" s="65">
        <v>418</v>
      </c>
      <c r="BF24" s="65">
        <v>1042</v>
      </c>
      <c r="BG24" s="65"/>
      <c r="BH24" s="65">
        <v>8500</v>
      </c>
      <c r="BI24" s="65">
        <v>190</v>
      </c>
      <c r="BJ24" s="65"/>
      <c r="BK24" s="65">
        <f>G24</f>
        <v>1</v>
      </c>
      <c r="BL24" s="65">
        <f>S24</f>
        <v>7919.92</v>
      </c>
      <c r="BM24" s="65">
        <f>T24</f>
        <v>4996.67</v>
      </c>
      <c r="BN24" s="65"/>
      <c r="BO24" s="65"/>
      <c r="BP24" s="65"/>
      <c r="BQ24" s="65"/>
      <c r="BR24" s="65"/>
      <c r="BS24" s="65"/>
      <c r="BT24" s="65"/>
      <c r="BU24" s="65">
        <v>4</v>
      </c>
      <c r="BV24" s="65">
        <f>BB24</f>
        <v>2105</v>
      </c>
      <c r="BW24" s="65">
        <v>6255</v>
      </c>
      <c r="BX24" s="65"/>
      <c r="BY24" s="65">
        <f>AQ24</f>
        <v>5554</v>
      </c>
      <c r="BZ24" s="74"/>
      <c r="CA24" s="74"/>
      <c r="CB24" s="74"/>
      <c r="CC24" s="74"/>
      <c r="CD24" s="74"/>
      <c r="CE24" s="74"/>
      <c r="CF24" s="74"/>
      <c r="CG24" s="75"/>
      <c r="CH24" s="76"/>
      <c r="CI24" s="77">
        <v>653.6</v>
      </c>
      <c r="CJ24" s="78">
        <v>5405</v>
      </c>
      <c r="CK24" s="78">
        <f t="shared" si="0"/>
        <v>3259</v>
      </c>
      <c r="CL24" s="79" t="str">
        <f aca="true" t="shared" si="17" ref="CL24:CL65">IF(CM24&gt;0,G24,"0")</f>
        <v>0</v>
      </c>
      <c r="CM24" s="80">
        <f t="shared" si="2"/>
        <v>0</v>
      </c>
      <c r="CN24" s="79">
        <f t="shared" si="3"/>
        <v>1</v>
      </c>
      <c r="CO24" s="80">
        <f t="shared" si="4"/>
        <v>5705</v>
      </c>
      <c r="CP24" s="80">
        <f t="shared" si="11"/>
        <v>1</v>
      </c>
      <c r="CQ24" s="80">
        <f t="shared" si="12"/>
        <v>5705</v>
      </c>
      <c r="CR24" s="52">
        <v>69</v>
      </c>
      <c r="CS24" s="33">
        <v>1</v>
      </c>
      <c r="CT24" s="33">
        <v>0</v>
      </c>
      <c r="CU24" s="33">
        <v>0</v>
      </c>
      <c r="CV24" s="33">
        <v>0</v>
      </c>
      <c r="CW24" s="33">
        <v>2</v>
      </c>
      <c r="CX24" s="33">
        <v>0</v>
      </c>
      <c r="CY24" s="33">
        <v>0</v>
      </c>
      <c r="CZ24" s="33">
        <v>0</v>
      </c>
      <c r="DA24" s="33">
        <v>0</v>
      </c>
      <c r="DB24" s="33">
        <v>96</v>
      </c>
      <c r="DC24" s="33">
        <v>29</v>
      </c>
      <c r="DD24" s="33">
        <v>29</v>
      </c>
      <c r="DE24" s="33">
        <v>11</v>
      </c>
      <c r="DF24" s="33">
        <v>3</v>
      </c>
      <c r="DG24" s="33">
        <v>3</v>
      </c>
      <c r="DH24" s="82" t="str">
        <f t="shared" si="13"/>
        <v>0</v>
      </c>
      <c r="DI24" s="82" t="str">
        <f t="shared" si="14"/>
        <v>0</v>
      </c>
      <c r="DJ24" s="83">
        <f t="shared" si="5"/>
        <v>29.548278265437034</v>
      </c>
    </row>
    <row r="25" spans="1:114" ht="15">
      <c r="A25" s="5" t="s">
        <v>107</v>
      </c>
      <c r="B25" s="60">
        <v>19</v>
      </c>
      <c r="C25" s="61" t="s">
        <v>91</v>
      </c>
      <c r="D25" s="62">
        <v>1955</v>
      </c>
      <c r="E25" s="63" t="s">
        <v>67</v>
      </c>
      <c r="F25" s="63" t="s">
        <v>29</v>
      </c>
      <c r="G25" s="64">
        <v>1</v>
      </c>
      <c r="H25" s="63">
        <v>5</v>
      </c>
      <c r="I25" s="63" t="s">
        <v>125</v>
      </c>
      <c r="J25" s="65">
        <v>28754</v>
      </c>
      <c r="K25" s="65">
        <v>1656</v>
      </c>
      <c r="L25" s="65" t="s">
        <v>202</v>
      </c>
      <c r="M25" s="65">
        <v>2023</v>
      </c>
      <c r="N25" s="65">
        <v>0</v>
      </c>
      <c r="O25" s="65">
        <v>76</v>
      </c>
      <c r="P25" s="65">
        <v>205</v>
      </c>
      <c r="Q25" s="65">
        <v>78</v>
      </c>
      <c r="R25" s="66">
        <v>124</v>
      </c>
      <c r="S25" s="67">
        <v>5686.6</v>
      </c>
      <c r="T25" s="68">
        <v>3516.96</v>
      </c>
      <c r="U25" s="69">
        <v>51</v>
      </c>
      <c r="V25" s="70">
        <v>3544.77</v>
      </c>
      <c r="W25" s="70">
        <v>2145.3099999999995</v>
      </c>
      <c r="X25" s="71">
        <f t="shared" si="6"/>
        <v>25</v>
      </c>
      <c r="Y25" s="72">
        <f t="shared" si="7"/>
        <v>2141.8300000000004</v>
      </c>
      <c r="Z25" s="72">
        <f t="shared" si="8"/>
        <v>1371.6500000000005</v>
      </c>
      <c r="AA25" s="72"/>
      <c r="AB25" s="72"/>
      <c r="AC25" s="72"/>
      <c r="AD25" s="72">
        <f t="shared" si="9"/>
        <v>345.2</v>
      </c>
      <c r="AE25" s="68">
        <f t="shared" si="10"/>
        <v>0</v>
      </c>
      <c r="AF25" s="73"/>
      <c r="AG25" s="68">
        <v>0</v>
      </c>
      <c r="AH25" s="73">
        <v>345.2</v>
      </c>
      <c r="AI25" s="73"/>
      <c r="AJ25" s="73">
        <f t="shared" si="15"/>
        <v>6031.8</v>
      </c>
      <c r="AK25" s="65"/>
      <c r="AL25" s="65"/>
      <c r="AM25" s="65">
        <v>4</v>
      </c>
      <c r="AN25" s="65"/>
      <c r="AO25" s="65"/>
      <c r="AP25" s="65">
        <v>1</v>
      </c>
      <c r="AQ25" s="65">
        <v>4400</v>
      </c>
      <c r="AR25" s="65">
        <v>583</v>
      </c>
      <c r="AS25" s="65">
        <v>220</v>
      </c>
      <c r="AT25" s="65">
        <v>306</v>
      </c>
      <c r="AU25" s="65">
        <v>120</v>
      </c>
      <c r="AV25" s="65">
        <f t="shared" si="16"/>
        <v>3972</v>
      </c>
      <c r="AW25" s="65"/>
      <c r="AX25" s="65">
        <v>3972</v>
      </c>
      <c r="AY25" s="65"/>
      <c r="AZ25" s="65">
        <v>96</v>
      </c>
      <c r="BA25" s="65">
        <v>1654</v>
      </c>
      <c r="BB25" s="65">
        <v>1654</v>
      </c>
      <c r="BC25" s="65">
        <v>20</v>
      </c>
      <c r="BD25" s="65">
        <v>8</v>
      </c>
      <c r="BE25" s="65">
        <v>299</v>
      </c>
      <c r="BF25" s="65">
        <v>779</v>
      </c>
      <c r="BG25" s="65"/>
      <c r="BH25" s="65">
        <v>6023</v>
      </c>
      <c r="BI25" s="65">
        <v>152</v>
      </c>
      <c r="BJ25" s="65"/>
      <c r="BK25" s="65">
        <f>G25</f>
        <v>1</v>
      </c>
      <c r="BL25" s="65">
        <f>S25</f>
        <v>5686.6</v>
      </c>
      <c r="BM25" s="65">
        <f>T25</f>
        <v>3516.96</v>
      </c>
      <c r="BN25" s="65"/>
      <c r="BO25" s="65"/>
      <c r="BP25" s="65"/>
      <c r="BQ25" s="65"/>
      <c r="BR25" s="65"/>
      <c r="BS25" s="65"/>
      <c r="BT25" s="65"/>
      <c r="BU25" s="65">
        <v>2</v>
      </c>
      <c r="BV25" s="65">
        <f>BB25</f>
        <v>1654</v>
      </c>
      <c r="BW25" s="65">
        <v>5820</v>
      </c>
      <c r="BX25" s="65"/>
      <c r="BY25" s="65">
        <f>AQ25</f>
        <v>4400</v>
      </c>
      <c r="BZ25" s="74"/>
      <c r="CA25" s="74"/>
      <c r="CB25" s="74"/>
      <c r="CC25" s="74"/>
      <c r="CD25" s="74"/>
      <c r="CE25" s="74"/>
      <c r="CF25" s="74"/>
      <c r="CG25" s="75"/>
      <c r="CH25" s="76"/>
      <c r="CI25" s="77">
        <v>553.84</v>
      </c>
      <c r="CJ25" s="78">
        <v>3911</v>
      </c>
      <c r="CK25" s="78">
        <f t="shared" si="0"/>
        <v>2255</v>
      </c>
      <c r="CL25" s="79" t="str">
        <f t="shared" si="17"/>
        <v>0</v>
      </c>
      <c r="CM25" s="80">
        <f t="shared" si="2"/>
        <v>0</v>
      </c>
      <c r="CN25" s="79">
        <f t="shared" si="3"/>
        <v>1</v>
      </c>
      <c r="CO25" s="80">
        <f t="shared" si="4"/>
        <v>3972</v>
      </c>
      <c r="CP25" s="80">
        <f t="shared" si="11"/>
        <v>1</v>
      </c>
      <c r="CQ25" s="80">
        <f t="shared" si="12"/>
        <v>3972</v>
      </c>
      <c r="CR25" s="52">
        <v>38</v>
      </c>
      <c r="CS25" s="33">
        <v>1</v>
      </c>
      <c r="CT25" s="33">
        <v>0</v>
      </c>
      <c r="CU25" s="33">
        <v>0</v>
      </c>
      <c r="CV25" s="33">
        <v>0</v>
      </c>
      <c r="CW25" s="33">
        <v>1</v>
      </c>
      <c r="CX25" s="33">
        <v>0</v>
      </c>
      <c r="CY25" s="33">
        <v>0</v>
      </c>
      <c r="CZ25" s="33">
        <v>0</v>
      </c>
      <c r="DA25" s="33">
        <v>0</v>
      </c>
      <c r="DB25" s="33">
        <v>70</v>
      </c>
      <c r="DC25" s="33">
        <v>24</v>
      </c>
      <c r="DD25" s="33">
        <v>24</v>
      </c>
      <c r="DE25" s="33">
        <v>3</v>
      </c>
      <c r="DF25" s="33">
        <v>1</v>
      </c>
      <c r="DG25" s="33">
        <v>1</v>
      </c>
      <c r="DH25" s="82" t="str">
        <f t="shared" si="13"/>
        <v>0</v>
      </c>
      <c r="DI25" s="82" t="str">
        <f t="shared" si="14"/>
        <v>0</v>
      </c>
      <c r="DJ25" s="83">
        <f t="shared" si="5"/>
        <v>37.66450954876376</v>
      </c>
    </row>
    <row r="26" spans="1:114" ht="15">
      <c r="A26" s="5" t="s">
        <v>107</v>
      </c>
      <c r="B26" s="60">
        <v>20</v>
      </c>
      <c r="C26" s="61" t="s">
        <v>92</v>
      </c>
      <c r="D26" s="62">
        <v>1988</v>
      </c>
      <c r="E26" s="63" t="s">
        <v>67</v>
      </c>
      <c r="F26" s="63" t="s">
        <v>28</v>
      </c>
      <c r="G26" s="64">
        <v>1</v>
      </c>
      <c r="H26" s="63">
        <v>9</v>
      </c>
      <c r="I26" s="63" t="s">
        <v>124</v>
      </c>
      <c r="J26" s="65">
        <v>29422</v>
      </c>
      <c r="K26" s="65">
        <v>1192</v>
      </c>
      <c r="L26" s="65" t="s">
        <v>203</v>
      </c>
      <c r="M26" s="65"/>
      <c r="N26" s="65">
        <v>1109</v>
      </c>
      <c r="O26" s="65">
        <v>100</v>
      </c>
      <c r="P26" s="65">
        <v>273</v>
      </c>
      <c r="Q26" s="65">
        <v>103</v>
      </c>
      <c r="R26" s="66">
        <v>228</v>
      </c>
      <c r="S26" s="67">
        <v>6516</v>
      </c>
      <c r="T26" s="68">
        <v>4048.2</v>
      </c>
      <c r="U26" s="69">
        <v>87</v>
      </c>
      <c r="V26" s="70">
        <v>5711.099999999996</v>
      </c>
      <c r="W26" s="70">
        <v>3551.6000000000013</v>
      </c>
      <c r="X26" s="71">
        <f t="shared" si="6"/>
        <v>13</v>
      </c>
      <c r="Y26" s="72">
        <f t="shared" si="7"/>
        <v>804.9000000000042</v>
      </c>
      <c r="Z26" s="72">
        <f t="shared" si="8"/>
        <v>496.59999999999854</v>
      </c>
      <c r="AA26" s="72"/>
      <c r="AB26" s="72"/>
      <c r="AC26" s="72"/>
      <c r="AD26" s="72">
        <f t="shared" si="9"/>
        <v>192.2</v>
      </c>
      <c r="AE26" s="68">
        <f t="shared" si="10"/>
        <v>0</v>
      </c>
      <c r="AF26" s="73"/>
      <c r="AG26" s="68">
        <v>0</v>
      </c>
      <c r="AH26" s="73">
        <v>192.2</v>
      </c>
      <c r="AI26" s="73"/>
      <c r="AJ26" s="73">
        <f t="shared" si="15"/>
        <v>6708.2</v>
      </c>
      <c r="AK26" s="65"/>
      <c r="AL26" s="65">
        <v>3</v>
      </c>
      <c r="AM26" s="65">
        <v>3</v>
      </c>
      <c r="AN26" s="65">
        <v>3</v>
      </c>
      <c r="AO26" s="65"/>
      <c r="AP26" s="65">
        <v>3</v>
      </c>
      <c r="AQ26" s="65">
        <v>5400</v>
      </c>
      <c r="AR26" s="65"/>
      <c r="AS26" s="65">
        <v>390</v>
      </c>
      <c r="AT26" s="65">
        <v>270</v>
      </c>
      <c r="AU26" s="65">
        <v>429</v>
      </c>
      <c r="AV26" s="65">
        <f t="shared" si="16"/>
        <v>10869</v>
      </c>
      <c r="AW26" s="65"/>
      <c r="AX26" s="65">
        <v>10869</v>
      </c>
      <c r="AY26" s="65">
        <v>2970</v>
      </c>
      <c r="AZ26" s="65">
        <v>188</v>
      </c>
      <c r="BA26" s="65">
        <v>1075</v>
      </c>
      <c r="BB26" s="65">
        <v>1075</v>
      </c>
      <c r="BC26" s="65">
        <v>51</v>
      </c>
      <c r="BD26" s="65">
        <v>6</v>
      </c>
      <c r="BE26" s="65">
        <v>384</v>
      </c>
      <c r="BF26" s="65">
        <v>996</v>
      </c>
      <c r="BG26" s="65"/>
      <c r="BH26" s="65">
        <v>11400</v>
      </c>
      <c r="BI26" s="65">
        <v>4905</v>
      </c>
      <c r="BJ26" s="65">
        <v>135</v>
      </c>
      <c r="BK26" s="65"/>
      <c r="BL26" s="65"/>
      <c r="BM26" s="65"/>
      <c r="BN26" s="65">
        <f>G26</f>
        <v>1</v>
      </c>
      <c r="BO26" s="65">
        <f>S26</f>
        <v>6516</v>
      </c>
      <c r="BP26" s="65">
        <f>T26</f>
        <v>4048.2</v>
      </c>
      <c r="BQ26" s="65"/>
      <c r="BR26" s="65"/>
      <c r="BS26" s="65"/>
      <c r="BT26" s="65"/>
      <c r="BU26" s="65">
        <v>3</v>
      </c>
      <c r="BV26" s="65"/>
      <c r="BW26" s="65"/>
      <c r="BX26" s="65"/>
      <c r="BY26" s="65"/>
      <c r="BZ26" s="74"/>
      <c r="CA26" s="74"/>
      <c r="CB26" s="74"/>
      <c r="CC26" s="74"/>
      <c r="CD26" s="74"/>
      <c r="CE26" s="74"/>
      <c r="CF26" s="74"/>
      <c r="CG26" s="75"/>
      <c r="CH26" s="76"/>
      <c r="CI26" s="77">
        <v>1164.5</v>
      </c>
      <c r="CJ26" s="78">
        <v>2287</v>
      </c>
      <c r="CK26" s="78">
        <f t="shared" si="0"/>
        <v>1095</v>
      </c>
      <c r="CL26" s="79" t="str">
        <f t="shared" si="17"/>
        <v>0</v>
      </c>
      <c r="CM26" s="80">
        <f t="shared" si="2"/>
        <v>0</v>
      </c>
      <c r="CN26" s="79">
        <f t="shared" si="3"/>
        <v>1</v>
      </c>
      <c r="CO26" s="80">
        <f t="shared" si="4"/>
        <v>10869</v>
      </c>
      <c r="CP26" s="80">
        <f t="shared" si="11"/>
        <v>1</v>
      </c>
      <c r="CQ26" s="80">
        <f t="shared" si="12"/>
        <v>10869</v>
      </c>
      <c r="CR26" s="52">
        <v>28</v>
      </c>
      <c r="CS26" s="33">
        <v>1</v>
      </c>
      <c r="CT26" s="33">
        <v>0</v>
      </c>
      <c r="CU26" s="33">
        <v>0</v>
      </c>
      <c r="CV26" s="33">
        <v>0</v>
      </c>
      <c r="CW26" s="33">
        <v>2</v>
      </c>
      <c r="CX26" s="33">
        <v>0</v>
      </c>
      <c r="CY26" s="33">
        <v>0</v>
      </c>
      <c r="CZ26" s="33">
        <v>0</v>
      </c>
      <c r="DA26" s="33">
        <v>0</v>
      </c>
      <c r="DB26" s="33">
        <v>94</v>
      </c>
      <c r="DC26" s="33">
        <v>48</v>
      </c>
      <c r="DD26" s="33">
        <v>48</v>
      </c>
      <c r="DE26" s="33">
        <v>5</v>
      </c>
      <c r="DF26" s="33">
        <v>3</v>
      </c>
      <c r="DG26" s="33">
        <v>3</v>
      </c>
      <c r="DH26" s="82" t="str">
        <f t="shared" si="13"/>
        <v>0</v>
      </c>
      <c r="DI26" s="82" t="str">
        <f t="shared" si="14"/>
        <v>0</v>
      </c>
      <c r="DJ26" s="83">
        <f t="shared" si="5"/>
        <v>12.352670349907983</v>
      </c>
    </row>
    <row r="27" spans="1:114" ht="15">
      <c r="A27" s="5" t="s">
        <v>107</v>
      </c>
      <c r="B27" s="60">
        <v>21</v>
      </c>
      <c r="C27" s="61" t="s">
        <v>140</v>
      </c>
      <c r="D27" s="62">
        <v>1983</v>
      </c>
      <c r="E27" s="63" t="s">
        <v>67</v>
      </c>
      <c r="F27" s="63" t="s">
        <v>28</v>
      </c>
      <c r="G27" s="64">
        <v>1</v>
      </c>
      <c r="H27" s="63">
        <v>9</v>
      </c>
      <c r="I27" s="63" t="s">
        <v>139</v>
      </c>
      <c r="J27" s="65">
        <f>19786+9827+19410</f>
        <v>49023</v>
      </c>
      <c r="K27" s="65">
        <f>777+413+746</f>
        <v>1936</v>
      </c>
      <c r="L27" s="65" t="s">
        <v>204</v>
      </c>
      <c r="M27" s="65"/>
      <c r="N27" s="65">
        <f>741+381+719</f>
        <v>1841</v>
      </c>
      <c r="O27" s="65">
        <v>175</v>
      </c>
      <c r="P27" s="65">
        <v>445</v>
      </c>
      <c r="Q27" s="65">
        <v>177</v>
      </c>
      <c r="R27" s="66">
        <v>385</v>
      </c>
      <c r="S27" s="67">
        <v>10834.3</v>
      </c>
      <c r="T27" s="68">
        <v>6635.8</v>
      </c>
      <c r="U27" s="69">
        <v>162</v>
      </c>
      <c r="V27" s="88">
        <v>10017.499999999996</v>
      </c>
      <c r="W27" s="88">
        <v>6134.200000000011</v>
      </c>
      <c r="X27" s="71">
        <f t="shared" si="6"/>
        <v>13</v>
      </c>
      <c r="Y27" s="72">
        <f t="shared" si="7"/>
        <v>816.8000000000029</v>
      </c>
      <c r="Z27" s="72">
        <f t="shared" si="8"/>
        <v>501.59999999998945</v>
      </c>
      <c r="AA27" s="72"/>
      <c r="AB27" s="72"/>
      <c r="AC27" s="72"/>
      <c r="AD27" s="72">
        <f t="shared" si="9"/>
        <v>0</v>
      </c>
      <c r="AE27" s="68">
        <f t="shared" si="10"/>
        <v>0</v>
      </c>
      <c r="AF27" s="73"/>
      <c r="AG27" s="68">
        <v>0</v>
      </c>
      <c r="AH27" s="73"/>
      <c r="AI27" s="73"/>
      <c r="AJ27" s="73">
        <f t="shared" si="15"/>
        <v>10834.3</v>
      </c>
      <c r="AK27" s="65"/>
      <c r="AL27" s="65">
        <f>2+1+2</f>
        <v>5</v>
      </c>
      <c r="AM27" s="65">
        <f>2+1+2</f>
        <v>5</v>
      </c>
      <c r="AN27" s="65">
        <f>2+1+2</f>
        <v>5</v>
      </c>
      <c r="AO27" s="65"/>
      <c r="AP27" s="65">
        <f>2+1+2</f>
        <v>5</v>
      </c>
      <c r="AQ27" s="65">
        <f>3480+2130+3480</f>
        <v>9090</v>
      </c>
      <c r="AR27" s="65"/>
      <c r="AS27" s="65">
        <v>855</v>
      </c>
      <c r="AT27" s="65">
        <f>140+175+106</f>
        <v>421</v>
      </c>
      <c r="AU27" s="65">
        <f>286+143+286</f>
        <v>715</v>
      </c>
      <c r="AV27" s="65">
        <f t="shared" si="16"/>
        <v>19928</v>
      </c>
      <c r="AW27" s="65">
        <f>7246+5436+7246</f>
        <v>19928</v>
      </c>
      <c r="AX27" s="65"/>
      <c r="AY27" s="65">
        <f>1900+1900</f>
        <v>3800</v>
      </c>
      <c r="AZ27" s="65">
        <f>169+103+163</f>
        <v>435</v>
      </c>
      <c r="BA27" s="65">
        <f>720+350+706</f>
        <v>1776</v>
      </c>
      <c r="BB27" s="65">
        <f>720+350+706</f>
        <v>1776</v>
      </c>
      <c r="BC27" s="65">
        <f>34+17+34</f>
        <v>85</v>
      </c>
      <c r="BD27" s="65">
        <f>4+2+4</f>
        <v>10</v>
      </c>
      <c r="BE27" s="65">
        <f>257+106+257</f>
        <v>620</v>
      </c>
      <c r="BF27" s="65">
        <f>607+298+677</f>
        <v>1582</v>
      </c>
      <c r="BG27" s="65"/>
      <c r="BH27" s="65">
        <f>7600+3800+7600</f>
        <v>19000</v>
      </c>
      <c r="BI27" s="65">
        <f>3270+1635+3270</f>
        <v>8175</v>
      </c>
      <c r="BJ27" s="65">
        <f>90+45+90</f>
        <v>225</v>
      </c>
      <c r="BK27" s="65"/>
      <c r="BL27" s="65"/>
      <c r="BM27" s="65"/>
      <c r="BN27" s="52"/>
      <c r="BO27" s="52"/>
      <c r="BP27" s="52"/>
      <c r="BQ27" s="65">
        <f>G27</f>
        <v>1</v>
      </c>
      <c r="BR27" s="65">
        <f>S27</f>
        <v>10834.3</v>
      </c>
      <c r="BS27" s="65">
        <f>T27</f>
        <v>6635.8</v>
      </c>
      <c r="BT27" s="65"/>
      <c r="BU27" s="65">
        <v>6</v>
      </c>
      <c r="BV27" s="65"/>
      <c r="BW27" s="65"/>
      <c r="BX27" s="65"/>
      <c r="BY27" s="65">
        <v>2130</v>
      </c>
      <c r="BZ27" s="74"/>
      <c r="CA27" s="74"/>
      <c r="CB27" s="74"/>
      <c r="CC27" s="74"/>
      <c r="CD27" s="74"/>
      <c r="CE27" s="74"/>
      <c r="CF27" s="74"/>
      <c r="CG27" s="75"/>
      <c r="CH27" s="76"/>
      <c r="CI27" s="77">
        <v>1936.2</v>
      </c>
      <c r="CJ27" s="78">
        <v>4129</v>
      </c>
      <c r="CK27" s="78">
        <f t="shared" si="0"/>
        <v>2193</v>
      </c>
      <c r="CL27" s="79">
        <f t="shared" si="17"/>
        <v>1</v>
      </c>
      <c r="CM27" s="80">
        <f t="shared" si="2"/>
        <v>19928</v>
      </c>
      <c r="CN27" s="79" t="str">
        <f t="shared" si="3"/>
        <v>0</v>
      </c>
      <c r="CO27" s="80">
        <f t="shared" si="4"/>
        <v>0</v>
      </c>
      <c r="CP27" s="80">
        <f t="shared" si="11"/>
        <v>1</v>
      </c>
      <c r="CQ27" s="80">
        <f t="shared" si="12"/>
        <v>19928</v>
      </c>
      <c r="CR27" s="52">
        <v>27</v>
      </c>
      <c r="CS27" s="33">
        <v>1</v>
      </c>
      <c r="CT27" s="33">
        <v>0</v>
      </c>
      <c r="CU27" s="33">
        <v>0</v>
      </c>
      <c r="CV27" s="33">
        <v>0</v>
      </c>
      <c r="CW27" s="33">
        <v>4</v>
      </c>
      <c r="CX27" s="33">
        <v>0</v>
      </c>
      <c r="CY27" s="33">
        <v>0</v>
      </c>
      <c r="CZ27" s="33">
        <v>0</v>
      </c>
      <c r="DA27" s="33">
        <v>0</v>
      </c>
      <c r="DB27" s="33">
        <v>153</v>
      </c>
      <c r="DC27" s="33">
        <v>85</v>
      </c>
      <c r="DD27" s="33">
        <v>85</v>
      </c>
      <c r="DE27" s="33">
        <v>5</v>
      </c>
      <c r="DF27" s="33">
        <v>2</v>
      </c>
      <c r="DG27" s="33">
        <v>2</v>
      </c>
      <c r="DH27" s="82" t="str">
        <f t="shared" si="13"/>
        <v>0</v>
      </c>
      <c r="DI27" s="82" t="str">
        <f t="shared" si="14"/>
        <v>0</v>
      </c>
      <c r="DJ27" s="83">
        <f t="shared" si="5"/>
        <v>7.5390195951746115</v>
      </c>
    </row>
    <row r="28" spans="1:114" ht="15">
      <c r="A28" s="5" t="s">
        <v>107</v>
      </c>
      <c r="B28" s="60">
        <v>22</v>
      </c>
      <c r="C28" s="61" t="s">
        <v>93</v>
      </c>
      <c r="D28" s="62">
        <v>1983</v>
      </c>
      <c r="E28" s="63" t="s">
        <v>67</v>
      </c>
      <c r="F28" s="63" t="s">
        <v>28</v>
      </c>
      <c r="G28" s="64">
        <v>1</v>
      </c>
      <c r="H28" s="63">
        <v>9</v>
      </c>
      <c r="I28" s="63" t="s">
        <v>124</v>
      </c>
      <c r="J28" s="65">
        <v>19920</v>
      </c>
      <c r="K28" s="65">
        <v>765</v>
      </c>
      <c r="L28" s="65" t="s">
        <v>205</v>
      </c>
      <c r="M28" s="65"/>
      <c r="N28" s="65">
        <v>763</v>
      </c>
      <c r="O28" s="65">
        <v>70</v>
      </c>
      <c r="P28" s="65">
        <v>196</v>
      </c>
      <c r="Q28" s="65">
        <v>73</v>
      </c>
      <c r="R28" s="66">
        <v>147</v>
      </c>
      <c r="S28" s="67">
        <v>4562</v>
      </c>
      <c r="T28" s="68">
        <v>2875.8</v>
      </c>
      <c r="U28" s="69">
        <v>59</v>
      </c>
      <c r="V28" s="70">
        <v>3797.2000000000003</v>
      </c>
      <c r="W28" s="70">
        <v>2394.9</v>
      </c>
      <c r="X28" s="71">
        <f t="shared" si="6"/>
        <v>11</v>
      </c>
      <c r="Y28" s="72">
        <f t="shared" si="7"/>
        <v>764.7999999999997</v>
      </c>
      <c r="Z28" s="72">
        <f t="shared" si="8"/>
        <v>480.9000000000001</v>
      </c>
      <c r="AA28" s="72"/>
      <c r="AB28" s="72"/>
      <c r="AC28" s="72"/>
      <c r="AD28" s="72">
        <f t="shared" si="9"/>
        <v>0</v>
      </c>
      <c r="AE28" s="68">
        <f t="shared" si="10"/>
        <v>0</v>
      </c>
      <c r="AF28" s="73"/>
      <c r="AG28" s="68">
        <v>0</v>
      </c>
      <c r="AH28" s="73"/>
      <c r="AI28" s="73"/>
      <c r="AJ28" s="73">
        <f t="shared" si="15"/>
        <v>4562</v>
      </c>
      <c r="AK28" s="65"/>
      <c r="AL28" s="65">
        <v>2</v>
      </c>
      <c r="AM28" s="65">
        <v>2</v>
      </c>
      <c r="AN28" s="65">
        <v>2</v>
      </c>
      <c r="AO28" s="65"/>
      <c r="AP28" s="65">
        <v>2</v>
      </c>
      <c r="AQ28" s="65">
        <v>3930</v>
      </c>
      <c r="AR28" s="65"/>
      <c r="AS28" s="65">
        <v>305</v>
      </c>
      <c r="AT28" s="65">
        <v>223</v>
      </c>
      <c r="AU28" s="65">
        <v>286</v>
      </c>
      <c r="AV28" s="65">
        <f t="shared" si="16"/>
        <v>7246</v>
      </c>
      <c r="AW28" s="65"/>
      <c r="AX28" s="65">
        <v>7246</v>
      </c>
      <c r="AY28" s="65">
        <v>2140</v>
      </c>
      <c r="AZ28" s="65">
        <v>167</v>
      </c>
      <c r="BA28" s="65">
        <v>740</v>
      </c>
      <c r="BB28" s="65">
        <v>740</v>
      </c>
      <c r="BC28" s="65">
        <v>34</v>
      </c>
      <c r="BD28" s="65">
        <v>4</v>
      </c>
      <c r="BE28" s="65">
        <v>260</v>
      </c>
      <c r="BF28" s="65">
        <v>670</v>
      </c>
      <c r="BG28" s="65"/>
      <c r="BH28" s="65">
        <v>7600</v>
      </c>
      <c r="BI28" s="65">
        <v>3270</v>
      </c>
      <c r="BJ28" s="65">
        <v>90</v>
      </c>
      <c r="BK28" s="65"/>
      <c r="BL28" s="65"/>
      <c r="BM28" s="65"/>
      <c r="BN28" s="65">
        <f>G28</f>
        <v>1</v>
      </c>
      <c r="BO28" s="65">
        <f>S28</f>
        <v>4562</v>
      </c>
      <c r="BP28" s="65">
        <f>T28</f>
        <v>2875.8</v>
      </c>
      <c r="BQ28" s="65"/>
      <c r="BR28" s="65"/>
      <c r="BS28" s="65"/>
      <c r="BT28" s="65"/>
      <c r="BU28" s="65">
        <v>2</v>
      </c>
      <c r="BV28" s="65"/>
      <c r="BW28" s="65"/>
      <c r="BX28" s="65"/>
      <c r="BY28" s="65"/>
      <c r="BZ28" s="74"/>
      <c r="CA28" s="74"/>
      <c r="CB28" s="74"/>
      <c r="CC28" s="74"/>
      <c r="CD28" s="74"/>
      <c r="CE28" s="74"/>
      <c r="CF28" s="74"/>
      <c r="CG28" s="75"/>
      <c r="CH28" s="76"/>
      <c r="CI28" s="77">
        <v>746.6</v>
      </c>
      <c r="CJ28" s="78">
        <v>1481</v>
      </c>
      <c r="CK28" s="78">
        <f t="shared" si="0"/>
        <v>716</v>
      </c>
      <c r="CL28" s="79" t="str">
        <f t="shared" si="17"/>
        <v>0</v>
      </c>
      <c r="CM28" s="80">
        <f t="shared" si="2"/>
        <v>0</v>
      </c>
      <c r="CN28" s="79">
        <f t="shared" si="3"/>
        <v>1</v>
      </c>
      <c r="CO28" s="80">
        <f t="shared" si="4"/>
        <v>7246</v>
      </c>
      <c r="CP28" s="80">
        <f t="shared" si="11"/>
        <v>1</v>
      </c>
      <c r="CQ28" s="80">
        <f t="shared" si="12"/>
        <v>7246</v>
      </c>
      <c r="CR28" s="52">
        <v>32</v>
      </c>
      <c r="CS28" s="33">
        <v>1</v>
      </c>
      <c r="CT28" s="33">
        <v>0</v>
      </c>
      <c r="CU28" s="33">
        <v>0</v>
      </c>
      <c r="CV28" s="33">
        <v>0</v>
      </c>
      <c r="CW28" s="33">
        <v>2</v>
      </c>
      <c r="CX28" s="33">
        <v>0</v>
      </c>
      <c r="CY28" s="33">
        <v>0</v>
      </c>
      <c r="CZ28" s="33">
        <v>0</v>
      </c>
      <c r="DA28" s="33">
        <v>0</v>
      </c>
      <c r="DB28" s="33">
        <v>63</v>
      </c>
      <c r="DC28" s="33">
        <v>30</v>
      </c>
      <c r="DD28" s="33">
        <v>30</v>
      </c>
      <c r="DE28" s="33">
        <v>6</v>
      </c>
      <c r="DF28" s="33">
        <v>3</v>
      </c>
      <c r="DG28" s="33">
        <v>3</v>
      </c>
      <c r="DH28" s="82" t="str">
        <f t="shared" si="13"/>
        <v>0</v>
      </c>
      <c r="DI28" s="82" t="str">
        <f t="shared" si="14"/>
        <v>0</v>
      </c>
      <c r="DJ28" s="83">
        <f t="shared" si="5"/>
        <v>16.764576939938618</v>
      </c>
    </row>
    <row r="29" spans="1:114" ht="15">
      <c r="A29" s="5" t="s">
        <v>107</v>
      </c>
      <c r="B29" s="60">
        <v>23</v>
      </c>
      <c r="C29" s="61" t="s">
        <v>97</v>
      </c>
      <c r="D29" s="62">
        <v>1951</v>
      </c>
      <c r="E29" s="63" t="s">
        <v>67</v>
      </c>
      <c r="F29" s="63" t="s">
        <v>29</v>
      </c>
      <c r="G29" s="64">
        <v>1</v>
      </c>
      <c r="H29" s="63">
        <v>5</v>
      </c>
      <c r="I29" s="63" t="s">
        <v>125</v>
      </c>
      <c r="J29" s="65">
        <v>35082</v>
      </c>
      <c r="K29" s="65">
        <v>1910</v>
      </c>
      <c r="L29" s="65" t="s">
        <v>206</v>
      </c>
      <c r="M29" s="65">
        <v>2296</v>
      </c>
      <c r="N29" s="65">
        <v>0</v>
      </c>
      <c r="O29" s="65">
        <v>72</v>
      </c>
      <c r="P29" s="65">
        <v>185</v>
      </c>
      <c r="Q29" s="65">
        <v>74</v>
      </c>
      <c r="R29" s="66">
        <v>141</v>
      </c>
      <c r="S29" s="67">
        <v>5981.1</v>
      </c>
      <c r="T29" s="68">
        <v>3611.82</v>
      </c>
      <c r="U29" s="69">
        <v>70</v>
      </c>
      <c r="V29" s="70">
        <v>5823.200000000002</v>
      </c>
      <c r="W29" s="70">
        <v>3523.2700000000004</v>
      </c>
      <c r="X29" s="71">
        <f t="shared" si="6"/>
        <v>2</v>
      </c>
      <c r="Y29" s="72">
        <f t="shared" si="7"/>
        <v>157.89999999999873</v>
      </c>
      <c r="Z29" s="72">
        <f t="shared" si="8"/>
        <v>88.54999999999973</v>
      </c>
      <c r="AA29" s="72"/>
      <c r="AB29" s="72"/>
      <c r="AC29" s="72"/>
      <c r="AD29" s="72">
        <f t="shared" si="9"/>
        <v>1218.04</v>
      </c>
      <c r="AE29" s="68">
        <f t="shared" si="10"/>
        <v>719.14</v>
      </c>
      <c r="AF29" s="73"/>
      <c r="AG29" s="68">
        <v>719.14</v>
      </c>
      <c r="AH29" s="73">
        <v>498.9</v>
      </c>
      <c r="AI29" s="73"/>
      <c r="AJ29" s="73">
        <f t="shared" si="15"/>
        <v>7199.14</v>
      </c>
      <c r="AK29" s="65"/>
      <c r="AL29" s="65"/>
      <c r="AM29" s="65">
        <v>4</v>
      </c>
      <c r="AN29" s="65"/>
      <c r="AO29" s="65"/>
      <c r="AP29" s="65">
        <v>1</v>
      </c>
      <c r="AQ29" s="65">
        <v>4640</v>
      </c>
      <c r="AR29" s="65">
        <v>1376</v>
      </c>
      <c r="AS29" s="65">
        <v>360</v>
      </c>
      <c r="AT29" s="65">
        <v>270</v>
      </c>
      <c r="AU29" s="65">
        <v>120</v>
      </c>
      <c r="AV29" s="65">
        <f t="shared" si="16"/>
        <v>3972</v>
      </c>
      <c r="AW29" s="65"/>
      <c r="AX29" s="65">
        <v>3972</v>
      </c>
      <c r="AY29" s="65"/>
      <c r="AZ29" s="65">
        <v>128</v>
      </c>
      <c r="BA29" s="65">
        <v>1920</v>
      </c>
      <c r="BB29" s="65">
        <v>1920</v>
      </c>
      <c r="BC29" s="65">
        <v>20</v>
      </c>
      <c r="BD29" s="65">
        <v>8</v>
      </c>
      <c r="BE29" s="65">
        <v>328</v>
      </c>
      <c r="BF29" s="65">
        <v>688</v>
      </c>
      <c r="BG29" s="65"/>
      <c r="BH29" s="65">
        <v>5351</v>
      </c>
      <c r="BI29" s="65">
        <v>152</v>
      </c>
      <c r="BJ29" s="65"/>
      <c r="BK29" s="65">
        <f aca="true" t="shared" si="18" ref="BK29:BK35">G29</f>
        <v>1</v>
      </c>
      <c r="BL29" s="65">
        <f aca="true" t="shared" si="19" ref="BL29:BM35">S29</f>
        <v>5981.1</v>
      </c>
      <c r="BM29" s="65">
        <f t="shared" si="19"/>
        <v>3611.82</v>
      </c>
      <c r="BN29" s="65"/>
      <c r="BO29" s="65"/>
      <c r="BP29" s="65"/>
      <c r="BQ29" s="65"/>
      <c r="BR29" s="65"/>
      <c r="BS29" s="65"/>
      <c r="BT29" s="65"/>
      <c r="BU29" s="65">
        <v>6</v>
      </c>
      <c r="BV29" s="65">
        <f aca="true" t="shared" si="20" ref="BV29:BV35">BB29</f>
        <v>1920</v>
      </c>
      <c r="BW29" s="65">
        <v>5217</v>
      </c>
      <c r="BX29" s="65"/>
      <c r="BY29" s="65">
        <f aca="true" t="shared" si="21" ref="BY29:BY35">AQ29</f>
        <v>4640</v>
      </c>
      <c r="BZ29" s="74"/>
      <c r="CA29" s="74"/>
      <c r="CB29" s="74"/>
      <c r="CC29" s="74"/>
      <c r="CD29" s="74"/>
      <c r="CE29" s="74"/>
      <c r="CF29" s="74"/>
      <c r="CG29" s="75"/>
      <c r="CH29" s="76"/>
      <c r="CI29" s="77">
        <v>590.98</v>
      </c>
      <c r="CJ29" s="78">
        <v>5058</v>
      </c>
      <c r="CK29" s="78">
        <f t="shared" si="0"/>
        <v>3148</v>
      </c>
      <c r="CL29" s="79" t="str">
        <f t="shared" si="17"/>
        <v>0</v>
      </c>
      <c r="CM29" s="80">
        <f t="shared" si="2"/>
        <v>0</v>
      </c>
      <c r="CN29" s="79">
        <f t="shared" si="3"/>
        <v>1</v>
      </c>
      <c r="CO29" s="80">
        <f t="shared" si="4"/>
        <v>3972</v>
      </c>
      <c r="CP29" s="80">
        <f t="shared" si="11"/>
        <v>1</v>
      </c>
      <c r="CQ29" s="80">
        <f t="shared" si="12"/>
        <v>3972</v>
      </c>
      <c r="CR29" s="52">
        <v>46</v>
      </c>
      <c r="CS29" s="33">
        <v>1</v>
      </c>
      <c r="CT29" s="33">
        <v>0</v>
      </c>
      <c r="CU29" s="33">
        <v>0</v>
      </c>
      <c r="CV29" s="33">
        <v>0</v>
      </c>
      <c r="CW29" s="33">
        <v>2</v>
      </c>
      <c r="CX29" s="33">
        <v>0</v>
      </c>
      <c r="CY29" s="33">
        <v>0</v>
      </c>
      <c r="CZ29" s="33">
        <v>0</v>
      </c>
      <c r="DA29" s="33">
        <v>0</v>
      </c>
      <c r="DB29" s="33">
        <v>68</v>
      </c>
      <c r="DC29" s="33">
        <v>23</v>
      </c>
      <c r="DD29" s="33">
        <v>23</v>
      </c>
      <c r="DE29" s="33">
        <v>3</v>
      </c>
      <c r="DF29" s="33">
        <v>0</v>
      </c>
      <c r="DG29" s="33">
        <v>0</v>
      </c>
      <c r="DH29" s="82" t="str">
        <f t="shared" si="13"/>
        <v>0</v>
      </c>
      <c r="DI29" s="82" t="str">
        <f t="shared" si="14"/>
        <v>0</v>
      </c>
      <c r="DJ29" s="83">
        <f t="shared" si="5"/>
        <v>2.6399826118941117</v>
      </c>
    </row>
    <row r="30" spans="1:114" ht="15">
      <c r="A30" s="5" t="s">
        <v>107</v>
      </c>
      <c r="B30" s="60">
        <v>24</v>
      </c>
      <c r="C30" s="61" t="s">
        <v>98</v>
      </c>
      <c r="D30" s="62">
        <v>1951</v>
      </c>
      <c r="E30" s="63" t="s">
        <v>67</v>
      </c>
      <c r="F30" s="63" t="s">
        <v>29</v>
      </c>
      <c r="G30" s="64">
        <v>1</v>
      </c>
      <c r="H30" s="63">
        <v>5</v>
      </c>
      <c r="I30" s="63" t="s">
        <v>125</v>
      </c>
      <c r="J30" s="65">
        <v>50810</v>
      </c>
      <c r="K30" s="65">
        <v>2912</v>
      </c>
      <c r="L30" s="65" t="s">
        <v>207</v>
      </c>
      <c r="M30" s="65">
        <v>3315</v>
      </c>
      <c r="N30" s="65">
        <v>0</v>
      </c>
      <c r="O30" s="65">
        <v>103</v>
      </c>
      <c r="P30" s="65">
        <v>275</v>
      </c>
      <c r="Q30" s="65">
        <v>106</v>
      </c>
      <c r="R30" s="66">
        <v>193</v>
      </c>
      <c r="S30" s="67">
        <v>7574.81</v>
      </c>
      <c r="T30" s="68">
        <v>4428.92</v>
      </c>
      <c r="U30" s="69">
        <v>91</v>
      </c>
      <c r="V30" s="70">
        <v>6612.839999999997</v>
      </c>
      <c r="W30" s="70">
        <v>3850.2800000000007</v>
      </c>
      <c r="X30" s="71">
        <f t="shared" si="6"/>
        <v>12</v>
      </c>
      <c r="Y30" s="72">
        <f t="shared" si="7"/>
        <v>961.970000000003</v>
      </c>
      <c r="Z30" s="72">
        <f t="shared" si="8"/>
        <v>578.6399999999994</v>
      </c>
      <c r="AA30" s="72"/>
      <c r="AB30" s="72"/>
      <c r="AC30" s="72"/>
      <c r="AD30" s="72">
        <f t="shared" si="9"/>
        <v>1909.1</v>
      </c>
      <c r="AE30" s="68">
        <f t="shared" si="10"/>
        <v>1676</v>
      </c>
      <c r="AF30" s="73"/>
      <c r="AG30" s="68">
        <f>1677.8-1.8</f>
        <v>1676</v>
      </c>
      <c r="AH30" s="73">
        <f>231.3+1.8</f>
        <v>233.10000000000002</v>
      </c>
      <c r="AI30" s="73"/>
      <c r="AJ30" s="73">
        <f t="shared" si="15"/>
        <v>9483.91</v>
      </c>
      <c r="AK30" s="65"/>
      <c r="AL30" s="65"/>
      <c r="AM30" s="65">
        <v>6</v>
      </c>
      <c r="AN30" s="65"/>
      <c r="AO30" s="65"/>
      <c r="AP30" s="65">
        <v>2</v>
      </c>
      <c r="AQ30" s="65">
        <v>6210</v>
      </c>
      <c r="AR30" s="65">
        <v>1376</v>
      </c>
      <c r="AS30" s="65">
        <v>740</v>
      </c>
      <c r="AT30" s="65">
        <v>704</v>
      </c>
      <c r="AU30" s="65">
        <v>180</v>
      </c>
      <c r="AV30" s="65">
        <f t="shared" si="16"/>
        <v>5958</v>
      </c>
      <c r="AW30" s="65"/>
      <c r="AX30" s="65">
        <v>5958</v>
      </c>
      <c r="AY30" s="65"/>
      <c r="AZ30" s="65">
        <v>189</v>
      </c>
      <c r="BA30" s="65">
        <v>2732</v>
      </c>
      <c r="BB30" s="65">
        <v>2732</v>
      </c>
      <c r="BC30" s="65">
        <v>30</v>
      </c>
      <c r="BD30" s="65">
        <v>12</v>
      </c>
      <c r="BE30" s="65">
        <v>381</v>
      </c>
      <c r="BF30" s="65">
        <v>999</v>
      </c>
      <c r="BG30" s="65"/>
      <c r="BH30" s="65">
        <v>7781</v>
      </c>
      <c r="BI30" s="65">
        <v>228</v>
      </c>
      <c r="BJ30" s="65"/>
      <c r="BK30" s="65">
        <f t="shared" si="18"/>
        <v>1</v>
      </c>
      <c r="BL30" s="65">
        <f t="shared" si="19"/>
        <v>7574.81</v>
      </c>
      <c r="BM30" s="65">
        <f t="shared" si="19"/>
        <v>4428.92</v>
      </c>
      <c r="BN30" s="65"/>
      <c r="BO30" s="65"/>
      <c r="BP30" s="65"/>
      <c r="BQ30" s="65"/>
      <c r="BR30" s="65"/>
      <c r="BS30" s="65"/>
      <c r="BT30" s="65"/>
      <c r="BU30" s="65">
        <v>4</v>
      </c>
      <c r="BV30" s="65">
        <f t="shared" si="20"/>
        <v>2732</v>
      </c>
      <c r="BW30" s="65">
        <v>7554</v>
      </c>
      <c r="BX30" s="65"/>
      <c r="BY30" s="65">
        <f t="shared" si="21"/>
        <v>6210</v>
      </c>
      <c r="BZ30" s="74"/>
      <c r="CA30" s="74"/>
      <c r="CB30" s="74"/>
      <c r="CC30" s="74"/>
      <c r="CD30" s="74"/>
      <c r="CE30" s="74"/>
      <c r="CF30" s="74"/>
      <c r="CG30" s="75"/>
      <c r="CH30" s="76"/>
      <c r="CI30" s="77">
        <v>864.5</v>
      </c>
      <c r="CJ30" s="78">
        <v>6788</v>
      </c>
      <c r="CK30" s="78">
        <f t="shared" si="0"/>
        <v>3876</v>
      </c>
      <c r="CL30" s="79" t="str">
        <f t="shared" si="17"/>
        <v>0</v>
      </c>
      <c r="CM30" s="80">
        <f t="shared" si="2"/>
        <v>0</v>
      </c>
      <c r="CN30" s="79">
        <f t="shared" si="3"/>
        <v>1</v>
      </c>
      <c r="CO30" s="80">
        <f t="shared" si="4"/>
        <v>5958</v>
      </c>
      <c r="CP30" s="80">
        <f t="shared" si="11"/>
        <v>1</v>
      </c>
      <c r="CQ30" s="80">
        <f t="shared" si="12"/>
        <v>5958</v>
      </c>
      <c r="CR30" s="52">
        <v>34</v>
      </c>
      <c r="CS30" s="33">
        <v>1</v>
      </c>
      <c r="CT30" s="33">
        <v>0</v>
      </c>
      <c r="CU30" s="33">
        <v>0</v>
      </c>
      <c r="CV30" s="33">
        <v>0</v>
      </c>
      <c r="CW30" s="33">
        <v>2</v>
      </c>
      <c r="CX30" s="33">
        <v>0</v>
      </c>
      <c r="CY30" s="33">
        <v>0</v>
      </c>
      <c r="CZ30" s="33">
        <v>0</v>
      </c>
      <c r="DA30" s="33">
        <v>0</v>
      </c>
      <c r="DB30" s="33">
        <v>88</v>
      </c>
      <c r="DC30" s="33">
        <v>25</v>
      </c>
      <c r="DD30" s="33">
        <v>25</v>
      </c>
      <c r="DE30" s="33">
        <v>6</v>
      </c>
      <c r="DF30" s="33">
        <v>0</v>
      </c>
      <c r="DG30" s="33">
        <v>0</v>
      </c>
      <c r="DH30" s="82" t="str">
        <f t="shared" si="13"/>
        <v>0</v>
      </c>
      <c r="DI30" s="82" t="str">
        <f t="shared" si="14"/>
        <v>0</v>
      </c>
      <c r="DJ30" s="83">
        <f t="shared" si="5"/>
        <v>12.699592465025564</v>
      </c>
    </row>
    <row r="31" spans="1:114" ht="15">
      <c r="A31" s="5" t="s">
        <v>107</v>
      </c>
      <c r="B31" s="60">
        <v>25</v>
      </c>
      <c r="C31" s="61" t="s">
        <v>99</v>
      </c>
      <c r="D31" s="62">
        <v>1954</v>
      </c>
      <c r="E31" s="63" t="s">
        <v>67</v>
      </c>
      <c r="F31" s="63" t="s">
        <v>29</v>
      </c>
      <c r="G31" s="64">
        <v>1</v>
      </c>
      <c r="H31" s="63">
        <v>5</v>
      </c>
      <c r="I31" s="63" t="s">
        <v>125</v>
      </c>
      <c r="J31" s="65">
        <v>51607</v>
      </c>
      <c r="K31" s="65">
        <v>2662</v>
      </c>
      <c r="L31" s="65" t="s">
        <v>208</v>
      </c>
      <c r="M31" s="65">
        <v>3290</v>
      </c>
      <c r="N31" s="65">
        <v>0</v>
      </c>
      <c r="O31" s="65">
        <v>110</v>
      </c>
      <c r="P31" s="65">
        <v>243</v>
      </c>
      <c r="Q31" s="65">
        <v>112</v>
      </c>
      <c r="R31" s="66">
        <v>195</v>
      </c>
      <c r="S31" s="67">
        <v>7620.43</v>
      </c>
      <c r="T31" s="68">
        <v>4189.5</v>
      </c>
      <c r="U31" s="69">
        <v>100</v>
      </c>
      <c r="V31" s="70">
        <v>7002.749999999995</v>
      </c>
      <c r="W31" s="70">
        <v>3858.4000000000015</v>
      </c>
      <c r="X31" s="71">
        <f t="shared" si="6"/>
        <v>10</v>
      </c>
      <c r="Y31" s="72">
        <f t="shared" si="7"/>
        <v>617.6800000000048</v>
      </c>
      <c r="Z31" s="72">
        <f t="shared" si="8"/>
        <v>331.09999999999854</v>
      </c>
      <c r="AA31" s="72"/>
      <c r="AB31" s="72"/>
      <c r="AC31" s="72"/>
      <c r="AD31" s="72">
        <f t="shared" si="9"/>
        <v>2355.6</v>
      </c>
      <c r="AE31" s="73">
        <f t="shared" si="10"/>
        <v>1889.9</v>
      </c>
      <c r="AF31" s="73"/>
      <c r="AG31" s="73">
        <f>2116-226.1</f>
        <v>1889.9</v>
      </c>
      <c r="AH31" s="73">
        <f>239.6+226.1</f>
        <v>465.7</v>
      </c>
      <c r="AI31" s="73"/>
      <c r="AJ31" s="73">
        <f t="shared" si="15"/>
        <v>9976.03</v>
      </c>
      <c r="AK31" s="65"/>
      <c r="AL31" s="65"/>
      <c r="AM31" s="65">
        <v>6</v>
      </c>
      <c r="AN31" s="65"/>
      <c r="AO31" s="65"/>
      <c r="AP31" s="65">
        <v>2</v>
      </c>
      <c r="AQ31" s="65">
        <v>6227</v>
      </c>
      <c r="AR31" s="65">
        <v>1376</v>
      </c>
      <c r="AS31" s="65">
        <v>806</v>
      </c>
      <c r="AT31" s="65">
        <v>542</v>
      </c>
      <c r="AU31" s="65">
        <v>180</v>
      </c>
      <c r="AV31" s="65">
        <f t="shared" si="16"/>
        <v>5958</v>
      </c>
      <c r="AW31" s="65"/>
      <c r="AX31" s="65">
        <v>5958</v>
      </c>
      <c r="AY31" s="65"/>
      <c r="AZ31" s="65">
        <v>199</v>
      </c>
      <c r="BA31" s="65">
        <v>2197</v>
      </c>
      <c r="BB31" s="65">
        <v>2197</v>
      </c>
      <c r="BC31" s="65">
        <v>30</v>
      </c>
      <c r="BD31" s="65">
        <v>12</v>
      </c>
      <c r="BE31" s="65">
        <v>380</v>
      </c>
      <c r="BF31" s="65">
        <v>1106</v>
      </c>
      <c r="BG31" s="65"/>
      <c r="BH31" s="65">
        <v>7765</v>
      </c>
      <c r="BI31" s="65">
        <v>228</v>
      </c>
      <c r="BJ31" s="65"/>
      <c r="BK31" s="65">
        <f t="shared" si="18"/>
        <v>1</v>
      </c>
      <c r="BL31" s="65">
        <f t="shared" si="19"/>
        <v>7620.43</v>
      </c>
      <c r="BM31" s="65">
        <f t="shared" si="19"/>
        <v>4189.5</v>
      </c>
      <c r="BN31" s="65"/>
      <c r="BO31" s="65"/>
      <c r="BP31" s="65"/>
      <c r="BQ31" s="65"/>
      <c r="BR31" s="65"/>
      <c r="BS31" s="65"/>
      <c r="BT31" s="65"/>
      <c r="BU31" s="65">
        <v>5</v>
      </c>
      <c r="BV31" s="65">
        <f t="shared" si="20"/>
        <v>2197</v>
      </c>
      <c r="BW31" s="65">
        <v>7380</v>
      </c>
      <c r="BX31" s="65"/>
      <c r="BY31" s="65">
        <f t="shared" si="21"/>
        <v>6227</v>
      </c>
      <c r="BZ31" s="74"/>
      <c r="CA31" s="74"/>
      <c r="CB31" s="74"/>
      <c r="CC31" s="74"/>
      <c r="CD31" s="74"/>
      <c r="CE31" s="74"/>
      <c r="CF31" s="74"/>
      <c r="CG31" s="75"/>
      <c r="CH31" s="76"/>
      <c r="CI31" s="77">
        <v>983.1</v>
      </c>
      <c r="CJ31" s="78">
        <v>6582</v>
      </c>
      <c r="CK31" s="78">
        <f t="shared" si="0"/>
        <v>3920</v>
      </c>
      <c r="CL31" s="79" t="str">
        <f t="shared" si="17"/>
        <v>0</v>
      </c>
      <c r="CM31" s="80">
        <f t="shared" si="2"/>
        <v>0</v>
      </c>
      <c r="CN31" s="79">
        <f t="shared" si="3"/>
        <v>1</v>
      </c>
      <c r="CO31" s="80">
        <f t="shared" si="4"/>
        <v>5958</v>
      </c>
      <c r="CP31" s="80">
        <f t="shared" si="11"/>
        <v>1</v>
      </c>
      <c r="CQ31" s="80">
        <f t="shared" si="12"/>
        <v>5958</v>
      </c>
      <c r="CR31" s="52">
        <v>45</v>
      </c>
      <c r="CS31" s="33">
        <v>1</v>
      </c>
      <c r="CT31" s="33">
        <v>0</v>
      </c>
      <c r="CU31" s="33">
        <v>0</v>
      </c>
      <c r="CV31" s="33">
        <v>0</v>
      </c>
      <c r="CW31" s="33">
        <v>2</v>
      </c>
      <c r="CX31" s="33">
        <v>0</v>
      </c>
      <c r="CY31" s="33">
        <v>0</v>
      </c>
      <c r="CZ31" s="33">
        <v>0</v>
      </c>
      <c r="DA31" s="33">
        <v>0</v>
      </c>
      <c r="DB31" s="33">
        <v>103</v>
      </c>
      <c r="DC31" s="33">
        <v>24</v>
      </c>
      <c r="DD31" s="33">
        <v>24</v>
      </c>
      <c r="DE31" s="33">
        <v>5</v>
      </c>
      <c r="DF31" s="33">
        <v>1</v>
      </c>
      <c r="DG31" s="33">
        <v>1</v>
      </c>
      <c r="DH31" s="82" t="str">
        <f t="shared" si="13"/>
        <v>0</v>
      </c>
      <c r="DI31" s="82" t="str">
        <f t="shared" si="14"/>
        <v>0</v>
      </c>
      <c r="DJ31" s="83">
        <f t="shared" si="5"/>
        <v>8.105579343947845</v>
      </c>
    </row>
    <row r="32" spans="1:114" ht="15">
      <c r="A32" s="5" t="s">
        <v>107</v>
      </c>
      <c r="B32" s="60">
        <v>26</v>
      </c>
      <c r="C32" s="61" t="s">
        <v>100</v>
      </c>
      <c r="D32" s="62">
        <v>1956</v>
      </c>
      <c r="E32" s="63" t="s">
        <v>67</v>
      </c>
      <c r="F32" s="63" t="s">
        <v>29</v>
      </c>
      <c r="G32" s="64">
        <v>1</v>
      </c>
      <c r="H32" s="63">
        <v>6</v>
      </c>
      <c r="I32" s="63" t="s">
        <v>125</v>
      </c>
      <c r="J32" s="65">
        <v>56561</v>
      </c>
      <c r="K32" s="65">
        <v>3054</v>
      </c>
      <c r="L32" s="65" t="s">
        <v>209</v>
      </c>
      <c r="M32" s="65">
        <v>3665</v>
      </c>
      <c r="N32" s="65"/>
      <c r="O32" s="65">
        <v>129</v>
      </c>
      <c r="P32" s="65">
        <v>325</v>
      </c>
      <c r="Q32" s="65">
        <v>132</v>
      </c>
      <c r="R32" s="66">
        <v>285</v>
      </c>
      <c r="S32" s="67">
        <v>9326.7</v>
      </c>
      <c r="T32" s="68">
        <v>5589.9</v>
      </c>
      <c r="U32" s="69">
        <v>119</v>
      </c>
      <c r="V32" s="70">
        <v>8594.099999999999</v>
      </c>
      <c r="W32" s="70">
        <v>5151.0999999999985</v>
      </c>
      <c r="X32" s="71">
        <f t="shared" si="6"/>
        <v>10</v>
      </c>
      <c r="Y32" s="72">
        <f t="shared" si="7"/>
        <v>732.6000000000022</v>
      </c>
      <c r="Z32" s="72">
        <f t="shared" si="8"/>
        <v>438.8000000000011</v>
      </c>
      <c r="AA32" s="72"/>
      <c r="AB32" s="72"/>
      <c r="AC32" s="72"/>
      <c r="AD32" s="72">
        <f t="shared" si="9"/>
        <v>1904.6399999999999</v>
      </c>
      <c r="AE32" s="68">
        <f t="shared" si="10"/>
        <v>1786.04</v>
      </c>
      <c r="AF32" s="73"/>
      <c r="AG32" s="68">
        <v>1786.04</v>
      </c>
      <c r="AH32" s="73">
        <v>118.6</v>
      </c>
      <c r="AI32" s="73"/>
      <c r="AJ32" s="73">
        <f t="shared" si="15"/>
        <v>11231.34</v>
      </c>
      <c r="AK32" s="65"/>
      <c r="AL32" s="65"/>
      <c r="AM32" s="65">
        <v>8</v>
      </c>
      <c r="AN32" s="65"/>
      <c r="AO32" s="65"/>
      <c r="AP32" s="65">
        <v>2</v>
      </c>
      <c r="AQ32" s="65">
        <v>9217</v>
      </c>
      <c r="AR32" s="65">
        <v>1500</v>
      </c>
      <c r="AS32" s="65">
        <v>520</v>
      </c>
      <c r="AT32" s="65">
        <v>534</v>
      </c>
      <c r="AU32" s="65">
        <v>240</v>
      </c>
      <c r="AV32" s="65">
        <f t="shared" si="16"/>
        <v>9120</v>
      </c>
      <c r="AW32" s="65"/>
      <c r="AX32" s="65">
        <v>9120</v>
      </c>
      <c r="AY32" s="65"/>
      <c r="AZ32" s="65">
        <v>205</v>
      </c>
      <c r="BA32" s="65">
        <v>3029</v>
      </c>
      <c r="BB32" s="65">
        <v>3029</v>
      </c>
      <c r="BC32" s="65">
        <v>40</v>
      </c>
      <c r="BD32" s="65">
        <v>16</v>
      </c>
      <c r="BE32" s="65">
        <v>210</v>
      </c>
      <c r="BF32" s="65">
        <v>1262</v>
      </c>
      <c r="BG32" s="65"/>
      <c r="BH32" s="65">
        <v>9291</v>
      </c>
      <c r="BI32" s="65">
        <v>304</v>
      </c>
      <c r="BJ32" s="65"/>
      <c r="BK32" s="65">
        <f t="shared" si="18"/>
        <v>1</v>
      </c>
      <c r="BL32" s="65">
        <f t="shared" si="19"/>
        <v>9326.7</v>
      </c>
      <c r="BM32" s="65">
        <f t="shared" si="19"/>
        <v>5589.9</v>
      </c>
      <c r="BN32" s="65"/>
      <c r="BO32" s="65"/>
      <c r="BP32" s="65"/>
      <c r="BQ32" s="65"/>
      <c r="BR32" s="65"/>
      <c r="BS32" s="65"/>
      <c r="BT32" s="65"/>
      <c r="BU32" s="65">
        <v>5</v>
      </c>
      <c r="BV32" s="65">
        <f t="shared" si="20"/>
        <v>3029</v>
      </c>
      <c r="BW32" s="65">
        <v>9582</v>
      </c>
      <c r="BX32" s="65"/>
      <c r="BY32" s="65">
        <f t="shared" si="21"/>
        <v>9217</v>
      </c>
      <c r="BZ32" s="74"/>
      <c r="CA32" s="74"/>
      <c r="CB32" s="74"/>
      <c r="CC32" s="74"/>
      <c r="CD32" s="74"/>
      <c r="CE32" s="74"/>
      <c r="CF32" s="74"/>
      <c r="CG32" s="75"/>
      <c r="CH32" s="76"/>
      <c r="CI32" s="77">
        <v>1061</v>
      </c>
      <c r="CJ32" s="78">
        <v>7807</v>
      </c>
      <c r="CK32" s="78">
        <f t="shared" si="0"/>
        <v>4753</v>
      </c>
      <c r="CL32" s="79" t="str">
        <f t="shared" si="17"/>
        <v>0</v>
      </c>
      <c r="CM32" s="80">
        <f t="shared" si="2"/>
        <v>0</v>
      </c>
      <c r="CN32" s="79">
        <f t="shared" si="3"/>
        <v>1</v>
      </c>
      <c r="CO32" s="80">
        <f t="shared" si="4"/>
        <v>9120</v>
      </c>
      <c r="CP32" s="80">
        <f t="shared" si="11"/>
        <v>1</v>
      </c>
      <c r="CQ32" s="80">
        <f t="shared" si="12"/>
        <v>9120</v>
      </c>
      <c r="CR32" s="52">
        <v>49</v>
      </c>
      <c r="CS32" s="33">
        <v>1</v>
      </c>
      <c r="CT32" s="33">
        <v>0</v>
      </c>
      <c r="CU32" s="33">
        <v>0</v>
      </c>
      <c r="CV32" s="33">
        <v>0</v>
      </c>
      <c r="CW32" s="33">
        <v>4</v>
      </c>
      <c r="CX32" s="33">
        <v>0</v>
      </c>
      <c r="CY32" s="33">
        <v>0</v>
      </c>
      <c r="CZ32" s="33">
        <v>0</v>
      </c>
      <c r="DA32" s="33">
        <v>0</v>
      </c>
      <c r="DB32" s="33">
        <v>119</v>
      </c>
      <c r="DC32" s="33">
        <v>40</v>
      </c>
      <c r="DD32" s="33">
        <v>40</v>
      </c>
      <c r="DE32" s="33">
        <v>8</v>
      </c>
      <c r="DF32" s="33">
        <v>2</v>
      </c>
      <c r="DG32" s="33">
        <v>2</v>
      </c>
      <c r="DH32" s="82" t="str">
        <f t="shared" si="13"/>
        <v>0</v>
      </c>
      <c r="DI32" s="82" t="str">
        <f t="shared" si="14"/>
        <v>0</v>
      </c>
      <c r="DJ32" s="83">
        <f t="shared" si="5"/>
        <v>7.854868281385722</v>
      </c>
    </row>
    <row r="33" spans="1:114" ht="15">
      <c r="A33" s="5" t="s">
        <v>107</v>
      </c>
      <c r="B33" s="60">
        <v>27</v>
      </c>
      <c r="C33" s="61" t="s">
        <v>101</v>
      </c>
      <c r="D33" s="62">
        <v>1957</v>
      </c>
      <c r="E33" s="63" t="s">
        <v>67</v>
      </c>
      <c r="F33" s="63" t="s">
        <v>29</v>
      </c>
      <c r="G33" s="64">
        <v>1</v>
      </c>
      <c r="H33" s="63">
        <v>5</v>
      </c>
      <c r="I33" s="63" t="s">
        <v>125</v>
      </c>
      <c r="J33" s="65">
        <v>69591</v>
      </c>
      <c r="K33" s="65">
        <v>4092</v>
      </c>
      <c r="L33" s="65" t="s">
        <v>210</v>
      </c>
      <c r="M33" s="65">
        <v>4789</v>
      </c>
      <c r="N33" s="65"/>
      <c r="O33" s="65">
        <v>180</v>
      </c>
      <c r="P33" s="65">
        <v>435</v>
      </c>
      <c r="Q33" s="65">
        <v>182</v>
      </c>
      <c r="R33" s="66">
        <v>331</v>
      </c>
      <c r="S33" s="67">
        <v>12314.66</v>
      </c>
      <c r="T33" s="68">
        <v>7267.87</v>
      </c>
      <c r="U33" s="69">
        <v>167</v>
      </c>
      <c r="V33" s="70">
        <v>11403.540000000008</v>
      </c>
      <c r="W33" s="70">
        <v>6734.369999999998</v>
      </c>
      <c r="X33" s="71">
        <f t="shared" si="6"/>
        <v>13</v>
      </c>
      <c r="Y33" s="72">
        <f t="shared" si="7"/>
        <v>911.1199999999917</v>
      </c>
      <c r="Z33" s="72">
        <f t="shared" si="8"/>
        <v>533.5000000000018</v>
      </c>
      <c r="AA33" s="72"/>
      <c r="AB33" s="72"/>
      <c r="AC33" s="72"/>
      <c r="AD33" s="72">
        <f t="shared" si="9"/>
        <v>2092.1</v>
      </c>
      <c r="AE33" s="68">
        <f t="shared" si="10"/>
        <v>62.599999999999966</v>
      </c>
      <c r="AF33" s="73"/>
      <c r="AG33" s="68">
        <f>188.5+99.4-225.3</f>
        <v>62.599999999999966</v>
      </c>
      <c r="AH33" s="73">
        <f>1903.6-99.4+225.3</f>
        <v>2029.4999999999998</v>
      </c>
      <c r="AI33" s="73"/>
      <c r="AJ33" s="73">
        <f t="shared" si="15"/>
        <v>14406.76</v>
      </c>
      <c r="AK33" s="65"/>
      <c r="AL33" s="65"/>
      <c r="AM33" s="65">
        <v>11</v>
      </c>
      <c r="AN33" s="65"/>
      <c r="AO33" s="65"/>
      <c r="AP33" s="65">
        <v>2</v>
      </c>
      <c r="AQ33" s="65">
        <v>9236</v>
      </c>
      <c r="AR33" s="65">
        <v>1500</v>
      </c>
      <c r="AS33" s="65">
        <v>607</v>
      </c>
      <c r="AT33" s="65">
        <v>535</v>
      </c>
      <c r="AU33" s="65">
        <v>330</v>
      </c>
      <c r="AV33" s="65">
        <f t="shared" si="16"/>
        <v>10826</v>
      </c>
      <c r="AW33" s="65"/>
      <c r="AX33" s="65">
        <f>10923-30-30-37</f>
        <v>10826</v>
      </c>
      <c r="AY33" s="65"/>
      <c r="AZ33" s="65">
        <v>263</v>
      </c>
      <c r="BA33" s="65">
        <v>3990</v>
      </c>
      <c r="BB33" s="65">
        <v>3990</v>
      </c>
      <c r="BC33" s="65">
        <v>55</v>
      </c>
      <c r="BD33" s="65">
        <v>22</v>
      </c>
      <c r="BE33" s="65">
        <f>647-3-3-4</f>
        <v>637</v>
      </c>
      <c r="BF33" s="65">
        <f>1793-3</f>
        <v>1790</v>
      </c>
      <c r="BG33" s="65"/>
      <c r="BH33" s="65">
        <f>12452-120-120-150</f>
        <v>12062</v>
      </c>
      <c r="BI33" s="65">
        <v>418</v>
      </c>
      <c r="BJ33" s="65"/>
      <c r="BK33" s="65">
        <f t="shared" si="18"/>
        <v>1</v>
      </c>
      <c r="BL33" s="65">
        <f t="shared" si="19"/>
        <v>12314.66</v>
      </c>
      <c r="BM33" s="65">
        <f t="shared" si="19"/>
        <v>7267.87</v>
      </c>
      <c r="BN33" s="65"/>
      <c r="BO33" s="65"/>
      <c r="BP33" s="65"/>
      <c r="BQ33" s="65"/>
      <c r="BR33" s="65"/>
      <c r="BS33" s="65"/>
      <c r="BT33" s="65"/>
      <c r="BU33" s="65">
        <v>7</v>
      </c>
      <c r="BV33" s="65">
        <f t="shared" si="20"/>
        <v>3990</v>
      </c>
      <c r="BW33" s="65">
        <v>10510</v>
      </c>
      <c r="BX33" s="65"/>
      <c r="BY33" s="65">
        <f t="shared" si="21"/>
        <v>9236</v>
      </c>
      <c r="BZ33" s="74"/>
      <c r="CA33" s="74"/>
      <c r="CB33" s="74"/>
      <c r="CC33" s="74"/>
      <c r="CD33" s="74"/>
      <c r="CE33" s="74"/>
      <c r="CF33" s="74"/>
      <c r="CG33" s="75"/>
      <c r="CH33" s="76"/>
      <c r="CI33" s="77">
        <v>1317.5</v>
      </c>
      <c r="CJ33" s="78">
        <v>10875</v>
      </c>
      <c r="CK33" s="78">
        <f t="shared" si="0"/>
        <v>6783</v>
      </c>
      <c r="CL33" s="79" t="str">
        <f t="shared" si="17"/>
        <v>0</v>
      </c>
      <c r="CM33" s="80">
        <f t="shared" si="2"/>
        <v>0</v>
      </c>
      <c r="CN33" s="79">
        <f t="shared" si="3"/>
        <v>1</v>
      </c>
      <c r="CO33" s="80">
        <f t="shared" si="4"/>
        <v>10826</v>
      </c>
      <c r="CP33" s="80">
        <f t="shared" si="11"/>
        <v>1</v>
      </c>
      <c r="CQ33" s="80">
        <f t="shared" si="12"/>
        <v>10826</v>
      </c>
      <c r="CR33" s="52">
        <v>36</v>
      </c>
      <c r="CS33" s="33">
        <v>1</v>
      </c>
      <c r="CT33" s="33">
        <v>0</v>
      </c>
      <c r="CU33" s="33">
        <v>0</v>
      </c>
      <c r="CV33" s="33">
        <v>0</v>
      </c>
      <c r="CW33" s="33">
        <v>5</v>
      </c>
      <c r="CX33" s="33">
        <v>0</v>
      </c>
      <c r="CY33" s="33">
        <v>0</v>
      </c>
      <c r="CZ33" s="33">
        <v>0</v>
      </c>
      <c r="DA33" s="33">
        <v>0</v>
      </c>
      <c r="DB33" s="33">
        <v>120</v>
      </c>
      <c r="DC33" s="33">
        <v>51</v>
      </c>
      <c r="DD33" s="33">
        <v>51</v>
      </c>
      <c r="DE33" s="33">
        <v>18</v>
      </c>
      <c r="DF33" s="33">
        <v>3</v>
      </c>
      <c r="DG33" s="33">
        <v>3</v>
      </c>
      <c r="DH33" s="82" t="str">
        <f t="shared" si="13"/>
        <v>0</v>
      </c>
      <c r="DI33" s="82" t="str">
        <f t="shared" si="14"/>
        <v>0</v>
      </c>
      <c r="DJ33" s="83">
        <f t="shared" si="5"/>
        <v>7.398661432796291</v>
      </c>
    </row>
    <row r="34" spans="1:114" ht="15">
      <c r="A34" s="5" t="s">
        <v>107</v>
      </c>
      <c r="B34" s="60">
        <v>28</v>
      </c>
      <c r="C34" s="61" t="s">
        <v>102</v>
      </c>
      <c r="D34" s="62">
        <v>1956</v>
      </c>
      <c r="E34" s="63" t="s">
        <v>67</v>
      </c>
      <c r="F34" s="63" t="s">
        <v>29</v>
      </c>
      <c r="G34" s="64">
        <v>1</v>
      </c>
      <c r="H34" s="63">
        <v>5</v>
      </c>
      <c r="I34" s="63" t="s">
        <v>125</v>
      </c>
      <c r="J34" s="65">
        <v>12150</v>
      </c>
      <c r="K34" s="65">
        <v>748</v>
      </c>
      <c r="L34" s="65" t="s">
        <v>211</v>
      </c>
      <c r="M34" s="65">
        <v>900</v>
      </c>
      <c r="N34" s="65"/>
      <c r="O34" s="65">
        <v>32</v>
      </c>
      <c r="P34" s="65">
        <v>80</v>
      </c>
      <c r="Q34" s="65">
        <v>35</v>
      </c>
      <c r="R34" s="66">
        <v>70</v>
      </c>
      <c r="S34" s="67">
        <v>2096</v>
      </c>
      <c r="T34" s="68">
        <v>1283.3</v>
      </c>
      <c r="U34" s="69">
        <v>31</v>
      </c>
      <c r="V34" s="70">
        <v>2017.6</v>
      </c>
      <c r="W34" s="70">
        <v>1235.7</v>
      </c>
      <c r="X34" s="71">
        <f t="shared" si="6"/>
        <v>1</v>
      </c>
      <c r="Y34" s="72">
        <f t="shared" si="7"/>
        <v>78.40000000000009</v>
      </c>
      <c r="Z34" s="72">
        <f t="shared" si="8"/>
        <v>47.59999999999991</v>
      </c>
      <c r="AA34" s="72"/>
      <c r="AB34" s="72"/>
      <c r="AC34" s="72"/>
      <c r="AD34" s="72">
        <f t="shared" si="9"/>
        <v>530.1</v>
      </c>
      <c r="AE34" s="92">
        <f t="shared" si="10"/>
        <v>0</v>
      </c>
      <c r="AF34" s="73"/>
      <c r="AG34" s="92"/>
      <c r="AH34" s="73">
        <v>530.1</v>
      </c>
      <c r="AI34" s="73"/>
      <c r="AJ34" s="73">
        <f t="shared" si="15"/>
        <v>2626.1</v>
      </c>
      <c r="AK34" s="65"/>
      <c r="AL34" s="65"/>
      <c r="AM34" s="65">
        <v>2</v>
      </c>
      <c r="AN34" s="65"/>
      <c r="AO34" s="65"/>
      <c r="AP34" s="65">
        <v>1</v>
      </c>
      <c r="AQ34" s="65">
        <v>2146</v>
      </c>
      <c r="AR34" s="65">
        <v>585</v>
      </c>
      <c r="AS34" s="65">
        <v>192</v>
      </c>
      <c r="AT34" s="65">
        <v>125</v>
      </c>
      <c r="AU34" s="65">
        <v>60</v>
      </c>
      <c r="AV34" s="65">
        <f t="shared" si="16"/>
        <v>1986</v>
      </c>
      <c r="AW34" s="65"/>
      <c r="AX34" s="65">
        <v>1986</v>
      </c>
      <c r="AY34" s="65"/>
      <c r="AZ34" s="65">
        <v>46</v>
      </c>
      <c r="BA34" s="65">
        <v>730</v>
      </c>
      <c r="BB34" s="65">
        <v>730</v>
      </c>
      <c r="BC34" s="65">
        <v>10</v>
      </c>
      <c r="BD34" s="65">
        <v>4</v>
      </c>
      <c r="BE34" s="65">
        <v>112</v>
      </c>
      <c r="BF34" s="65">
        <v>304</v>
      </c>
      <c r="BG34" s="65"/>
      <c r="BH34" s="65">
        <v>2304</v>
      </c>
      <c r="BI34" s="65">
        <v>76</v>
      </c>
      <c r="BJ34" s="65"/>
      <c r="BK34" s="65">
        <f t="shared" si="18"/>
        <v>1</v>
      </c>
      <c r="BL34" s="65">
        <f t="shared" si="19"/>
        <v>2096</v>
      </c>
      <c r="BM34" s="65">
        <f t="shared" si="19"/>
        <v>1283.3</v>
      </c>
      <c r="BN34" s="65"/>
      <c r="BO34" s="65"/>
      <c r="BP34" s="65"/>
      <c r="BQ34" s="65"/>
      <c r="BR34" s="65"/>
      <c r="BS34" s="65"/>
      <c r="BT34" s="65"/>
      <c r="BU34" s="65">
        <v>1</v>
      </c>
      <c r="BV34" s="65">
        <f t="shared" si="20"/>
        <v>730</v>
      </c>
      <c r="BW34" s="65">
        <v>2620</v>
      </c>
      <c r="BX34" s="65"/>
      <c r="BY34" s="65">
        <f t="shared" si="21"/>
        <v>2146</v>
      </c>
      <c r="BZ34" s="74"/>
      <c r="CA34" s="74"/>
      <c r="CB34" s="74"/>
      <c r="CC34" s="74"/>
      <c r="CD34" s="74"/>
      <c r="CE34" s="74"/>
      <c r="CF34" s="74"/>
      <c r="CG34" s="75"/>
      <c r="CH34" s="76"/>
      <c r="CI34" s="77">
        <v>221.1</v>
      </c>
      <c r="CJ34" s="78">
        <v>1769</v>
      </c>
      <c r="CK34" s="78">
        <f t="shared" si="0"/>
        <v>1021</v>
      </c>
      <c r="CL34" s="79" t="str">
        <f t="shared" si="17"/>
        <v>0</v>
      </c>
      <c r="CM34" s="80">
        <f t="shared" si="2"/>
        <v>0</v>
      </c>
      <c r="CN34" s="79">
        <f t="shared" si="3"/>
        <v>1</v>
      </c>
      <c r="CO34" s="80">
        <f t="shared" si="4"/>
        <v>1986</v>
      </c>
      <c r="CP34" s="80">
        <f t="shared" si="11"/>
        <v>1</v>
      </c>
      <c r="CQ34" s="80">
        <f t="shared" si="12"/>
        <v>1986</v>
      </c>
      <c r="CR34" s="52">
        <v>28</v>
      </c>
      <c r="CS34" s="33">
        <v>1</v>
      </c>
      <c r="CT34" s="33">
        <v>0</v>
      </c>
      <c r="CU34" s="33">
        <v>0</v>
      </c>
      <c r="CV34" s="33">
        <v>0</v>
      </c>
      <c r="CW34" s="33">
        <v>1</v>
      </c>
      <c r="CX34" s="33">
        <v>0</v>
      </c>
      <c r="CY34" s="33">
        <v>0</v>
      </c>
      <c r="CZ34" s="33">
        <v>0</v>
      </c>
      <c r="DA34" s="33">
        <v>0</v>
      </c>
      <c r="DB34" s="33">
        <v>32</v>
      </c>
      <c r="DC34" s="33">
        <v>11</v>
      </c>
      <c r="DD34" s="33">
        <v>11</v>
      </c>
      <c r="DE34" s="33">
        <v>0</v>
      </c>
      <c r="DF34" s="33">
        <v>0</v>
      </c>
      <c r="DG34" s="33">
        <v>0</v>
      </c>
      <c r="DH34" s="82" t="str">
        <f t="shared" si="13"/>
        <v>0</v>
      </c>
      <c r="DI34" s="82" t="str">
        <f t="shared" si="14"/>
        <v>0</v>
      </c>
      <c r="DJ34" s="83">
        <f t="shared" si="5"/>
        <v>3.74045801526718</v>
      </c>
    </row>
    <row r="35" spans="1:114" ht="15">
      <c r="A35" s="5" t="s">
        <v>107</v>
      </c>
      <c r="B35" s="60">
        <v>29</v>
      </c>
      <c r="C35" s="61" t="s">
        <v>103</v>
      </c>
      <c r="D35" s="62">
        <v>1957</v>
      </c>
      <c r="E35" s="63" t="s">
        <v>67</v>
      </c>
      <c r="F35" s="63" t="s">
        <v>29</v>
      </c>
      <c r="G35" s="64">
        <v>1</v>
      </c>
      <c r="H35" s="63">
        <v>5</v>
      </c>
      <c r="I35" s="63" t="s">
        <v>125</v>
      </c>
      <c r="J35" s="65">
        <v>18888</v>
      </c>
      <c r="K35" s="65">
        <v>4157</v>
      </c>
      <c r="L35" s="65" t="s">
        <v>212</v>
      </c>
      <c r="M35" s="65">
        <v>4914</v>
      </c>
      <c r="N35" s="65"/>
      <c r="O35" s="65">
        <f>192-1</f>
        <v>191</v>
      </c>
      <c r="P35" s="65">
        <f>464-3</f>
        <v>461</v>
      </c>
      <c r="Q35" s="65">
        <v>193</v>
      </c>
      <c r="R35" s="66">
        <v>400</v>
      </c>
      <c r="S35" s="67">
        <f>12900.5-113.8</f>
        <v>12786.7</v>
      </c>
      <c r="T35" s="68">
        <v>7606.3</v>
      </c>
      <c r="U35" s="69">
        <v>178</v>
      </c>
      <c r="V35" s="70">
        <v>11975.900000000007</v>
      </c>
      <c r="W35" s="70">
        <v>7120.499999999999</v>
      </c>
      <c r="X35" s="71">
        <f t="shared" si="6"/>
        <v>13</v>
      </c>
      <c r="Y35" s="72">
        <f t="shared" si="7"/>
        <v>810.7999999999938</v>
      </c>
      <c r="Z35" s="72">
        <f t="shared" si="8"/>
        <v>485.8000000000011</v>
      </c>
      <c r="AA35" s="72"/>
      <c r="AB35" s="72"/>
      <c r="AC35" s="72"/>
      <c r="AD35" s="72">
        <f t="shared" si="9"/>
        <v>2212</v>
      </c>
      <c r="AE35" s="68">
        <f t="shared" si="10"/>
        <v>1553</v>
      </c>
      <c r="AF35" s="73"/>
      <c r="AG35" s="68">
        <f>1599.6-46.6</f>
        <v>1553</v>
      </c>
      <c r="AH35" s="73">
        <f>498.6+113.8+46.6</f>
        <v>659</v>
      </c>
      <c r="AI35" s="73"/>
      <c r="AJ35" s="73">
        <f t="shared" si="15"/>
        <v>14998.7</v>
      </c>
      <c r="AK35" s="65"/>
      <c r="AL35" s="65"/>
      <c r="AM35" s="65">
        <v>11</v>
      </c>
      <c r="AN35" s="65"/>
      <c r="AO35" s="65"/>
      <c r="AP35" s="65">
        <v>4</v>
      </c>
      <c r="AQ35" s="65">
        <v>9971</v>
      </c>
      <c r="AR35" s="65">
        <v>585</v>
      </c>
      <c r="AS35" s="65">
        <v>845</v>
      </c>
      <c r="AT35" s="65">
        <v>694</v>
      </c>
      <c r="AU35" s="65">
        <v>330</v>
      </c>
      <c r="AV35" s="65">
        <f t="shared" si="16"/>
        <v>10923</v>
      </c>
      <c r="AW35" s="65"/>
      <c r="AX35" s="65">
        <v>10923</v>
      </c>
      <c r="AY35" s="65"/>
      <c r="AZ35" s="65">
        <v>249</v>
      </c>
      <c r="BA35" s="65">
        <v>3895</v>
      </c>
      <c r="BB35" s="65">
        <v>3895</v>
      </c>
      <c r="BC35" s="65">
        <v>55</v>
      </c>
      <c r="BD35" s="65">
        <v>22</v>
      </c>
      <c r="BE35" s="65">
        <v>686</v>
      </c>
      <c r="BF35" s="65">
        <v>1886</v>
      </c>
      <c r="BG35" s="65"/>
      <c r="BH35" s="65">
        <v>13595</v>
      </c>
      <c r="BI35" s="65">
        <v>418</v>
      </c>
      <c r="BJ35" s="65"/>
      <c r="BK35" s="65">
        <f t="shared" si="18"/>
        <v>1</v>
      </c>
      <c r="BL35" s="65">
        <f t="shared" si="19"/>
        <v>12786.7</v>
      </c>
      <c r="BM35" s="65">
        <f t="shared" si="19"/>
        <v>7606.3</v>
      </c>
      <c r="BN35" s="65"/>
      <c r="BO35" s="65"/>
      <c r="BP35" s="65"/>
      <c r="BQ35" s="65"/>
      <c r="BR35" s="65"/>
      <c r="BS35" s="65"/>
      <c r="BT35" s="65"/>
      <c r="BU35" s="65">
        <v>7</v>
      </c>
      <c r="BV35" s="65">
        <f t="shared" si="20"/>
        <v>3895</v>
      </c>
      <c r="BW35" s="65">
        <v>10860</v>
      </c>
      <c r="BX35" s="65"/>
      <c r="BY35" s="65">
        <f t="shared" si="21"/>
        <v>9971</v>
      </c>
      <c r="BZ35" s="74"/>
      <c r="CA35" s="74"/>
      <c r="CB35" s="74"/>
      <c r="CC35" s="74"/>
      <c r="CD35" s="74"/>
      <c r="CE35" s="74"/>
      <c r="CF35" s="74"/>
      <c r="CG35" s="75"/>
      <c r="CH35" s="76"/>
      <c r="CI35" s="77">
        <v>1335.5</v>
      </c>
      <c r="CJ35" s="78">
        <v>11228</v>
      </c>
      <c r="CK35" s="78">
        <f t="shared" si="0"/>
        <v>7071</v>
      </c>
      <c r="CL35" s="79" t="str">
        <f t="shared" si="17"/>
        <v>0</v>
      </c>
      <c r="CM35" s="80">
        <f t="shared" si="2"/>
        <v>0</v>
      </c>
      <c r="CN35" s="79">
        <f t="shared" si="3"/>
        <v>1</v>
      </c>
      <c r="CO35" s="80">
        <f t="shared" si="4"/>
        <v>10923</v>
      </c>
      <c r="CP35" s="80">
        <f t="shared" si="11"/>
        <v>1</v>
      </c>
      <c r="CQ35" s="80">
        <f t="shared" si="12"/>
        <v>10923</v>
      </c>
      <c r="CR35" s="52">
        <v>43</v>
      </c>
      <c r="CS35" s="33">
        <v>1</v>
      </c>
      <c r="CT35" s="33">
        <v>0</v>
      </c>
      <c r="CU35" s="33">
        <v>0</v>
      </c>
      <c r="CV35" s="33">
        <v>0</v>
      </c>
      <c r="CW35" s="33">
        <v>6</v>
      </c>
      <c r="CX35" s="33">
        <v>0</v>
      </c>
      <c r="CY35" s="33">
        <v>0</v>
      </c>
      <c r="CZ35" s="33">
        <v>0</v>
      </c>
      <c r="DA35" s="33">
        <v>0</v>
      </c>
      <c r="DB35" s="33">
        <v>192</v>
      </c>
      <c r="DC35" s="33">
        <v>48</v>
      </c>
      <c r="DD35" s="33">
        <v>48</v>
      </c>
      <c r="DE35" s="33">
        <v>9</v>
      </c>
      <c r="DF35" s="33">
        <v>2</v>
      </c>
      <c r="DG35" s="33">
        <v>2</v>
      </c>
      <c r="DH35" s="82" t="str">
        <f t="shared" si="13"/>
        <v>0</v>
      </c>
      <c r="DI35" s="82" t="str">
        <f t="shared" si="14"/>
        <v>0</v>
      </c>
      <c r="DJ35" s="83">
        <f t="shared" si="5"/>
        <v>6.3409636575503745</v>
      </c>
    </row>
    <row r="36" spans="1:114" ht="15">
      <c r="A36" s="5" t="s">
        <v>107</v>
      </c>
      <c r="B36" s="60">
        <v>30</v>
      </c>
      <c r="C36" s="61" t="s">
        <v>141</v>
      </c>
      <c r="D36" s="62">
        <v>1983</v>
      </c>
      <c r="E36" s="63" t="s">
        <v>67</v>
      </c>
      <c r="F36" s="63" t="s">
        <v>28</v>
      </c>
      <c r="G36" s="64">
        <v>1</v>
      </c>
      <c r="H36" s="63">
        <v>9</v>
      </c>
      <c r="I36" s="63" t="s">
        <v>124</v>
      </c>
      <c r="J36" s="65">
        <f>19283+13445+19376</f>
        <v>52104</v>
      </c>
      <c r="K36" s="65">
        <f>743+558+748</f>
        <v>2049</v>
      </c>
      <c r="L36" s="65" t="s">
        <v>213</v>
      </c>
      <c r="M36" s="65"/>
      <c r="N36" s="65">
        <f>700+510+705</f>
        <v>1915</v>
      </c>
      <c r="O36" s="65">
        <v>192</v>
      </c>
      <c r="P36" s="65">
        <v>459</v>
      </c>
      <c r="Q36" s="65">
        <v>195</v>
      </c>
      <c r="R36" s="66">
        <v>395</v>
      </c>
      <c r="S36" s="67">
        <v>11640.2</v>
      </c>
      <c r="T36" s="68">
        <v>7084.7</v>
      </c>
      <c r="U36" s="69">
        <v>171</v>
      </c>
      <c r="V36" s="88">
        <v>10247.2</v>
      </c>
      <c r="W36" s="88">
        <v>6214.100000000001</v>
      </c>
      <c r="X36" s="71">
        <f t="shared" si="6"/>
        <v>21</v>
      </c>
      <c r="Y36" s="72">
        <f t="shared" si="7"/>
        <v>1393</v>
      </c>
      <c r="Z36" s="72">
        <f t="shared" si="8"/>
        <v>870.5999999999985</v>
      </c>
      <c r="AA36" s="72"/>
      <c r="AB36" s="72"/>
      <c r="AC36" s="72"/>
      <c r="AD36" s="72">
        <f t="shared" si="9"/>
        <v>95.5</v>
      </c>
      <c r="AE36" s="68">
        <f t="shared" si="10"/>
        <v>95.5</v>
      </c>
      <c r="AF36" s="73"/>
      <c r="AG36" s="68">
        <v>95.5</v>
      </c>
      <c r="AH36" s="73"/>
      <c r="AI36" s="73"/>
      <c r="AJ36" s="73">
        <f t="shared" si="15"/>
        <v>11735.7</v>
      </c>
      <c r="AK36" s="65"/>
      <c r="AL36" s="65">
        <v>5</v>
      </c>
      <c r="AM36" s="65">
        <v>5</v>
      </c>
      <c r="AN36" s="65">
        <v>5</v>
      </c>
      <c r="AO36" s="65"/>
      <c r="AP36" s="65">
        <v>5</v>
      </c>
      <c r="AQ36" s="65">
        <f>2130+3480+3480</f>
        <v>9090</v>
      </c>
      <c r="AR36" s="65">
        <v>583</v>
      </c>
      <c r="AS36" s="65">
        <v>660</v>
      </c>
      <c r="AT36" s="65">
        <f>106+168+262</f>
        <v>536</v>
      </c>
      <c r="AU36" s="65">
        <f>143+286+286</f>
        <v>715</v>
      </c>
      <c r="AV36" s="65">
        <f t="shared" si="16"/>
        <v>19928</v>
      </c>
      <c r="AW36" s="65"/>
      <c r="AX36" s="65">
        <f>5436+7246+7246</f>
        <v>19928</v>
      </c>
      <c r="AY36" s="65">
        <v>1900</v>
      </c>
      <c r="AZ36" s="65">
        <f>169+132+170</f>
        <v>471</v>
      </c>
      <c r="BA36" s="65">
        <f>510+701+701</f>
        <v>1912</v>
      </c>
      <c r="BB36" s="65">
        <f>510+701+701</f>
        <v>1912</v>
      </c>
      <c r="BC36" s="65">
        <f>34+17+34</f>
        <v>85</v>
      </c>
      <c r="BD36" s="65">
        <v>10</v>
      </c>
      <c r="BE36" s="65">
        <f>141+257+258</f>
        <v>656</v>
      </c>
      <c r="BF36" s="65">
        <f>459+677+678</f>
        <v>1814</v>
      </c>
      <c r="BG36" s="65"/>
      <c r="BH36" s="65">
        <f>3800+7600+7600</f>
        <v>19000</v>
      </c>
      <c r="BI36" s="65">
        <f>1635+3270+3270</f>
        <v>8175</v>
      </c>
      <c r="BJ36" s="65">
        <f>45+90+90</f>
        <v>225</v>
      </c>
      <c r="BK36" s="65"/>
      <c r="BL36" s="65"/>
      <c r="BM36" s="65"/>
      <c r="BN36" s="65">
        <f>G36</f>
        <v>1</v>
      </c>
      <c r="BO36" s="65">
        <f>S36</f>
        <v>11640.2</v>
      </c>
      <c r="BP36" s="65">
        <f>T36</f>
        <v>7084.7</v>
      </c>
      <c r="BQ36" s="65"/>
      <c r="BR36" s="65"/>
      <c r="BS36" s="65"/>
      <c r="BT36" s="65"/>
      <c r="BU36" s="65">
        <v>4</v>
      </c>
      <c r="BV36" s="65"/>
      <c r="BW36" s="65"/>
      <c r="BX36" s="65"/>
      <c r="BY36" s="65"/>
      <c r="BZ36" s="74"/>
      <c r="CA36" s="74"/>
      <c r="CB36" s="74"/>
      <c r="CC36" s="74"/>
      <c r="CD36" s="74"/>
      <c r="CE36" s="74"/>
      <c r="CF36" s="74"/>
      <c r="CG36" s="75"/>
      <c r="CH36" s="76"/>
      <c r="CI36" s="77">
        <v>2086.9</v>
      </c>
      <c r="CJ36" s="78">
        <v>4791</v>
      </c>
      <c r="CK36" s="78">
        <f t="shared" si="0"/>
        <v>2742</v>
      </c>
      <c r="CL36" s="79" t="str">
        <f t="shared" si="17"/>
        <v>0</v>
      </c>
      <c r="CM36" s="80">
        <f t="shared" si="2"/>
        <v>0</v>
      </c>
      <c r="CN36" s="79">
        <f t="shared" si="3"/>
        <v>1</v>
      </c>
      <c r="CO36" s="80">
        <f t="shared" si="4"/>
        <v>19928</v>
      </c>
      <c r="CP36" s="80">
        <f t="shared" si="11"/>
        <v>1</v>
      </c>
      <c r="CQ36" s="80">
        <f t="shared" si="12"/>
        <v>19928</v>
      </c>
      <c r="CR36" s="52">
        <v>32</v>
      </c>
      <c r="CS36" s="33">
        <v>1</v>
      </c>
      <c r="CT36" s="33">
        <v>0</v>
      </c>
      <c r="CU36" s="33">
        <v>0</v>
      </c>
      <c r="CV36" s="33">
        <v>0</v>
      </c>
      <c r="CW36" s="33">
        <v>4</v>
      </c>
      <c r="CX36" s="33">
        <v>0</v>
      </c>
      <c r="CY36" s="33">
        <v>0</v>
      </c>
      <c r="CZ36" s="33">
        <v>0</v>
      </c>
      <c r="DA36" s="33">
        <v>0</v>
      </c>
      <c r="DB36" s="33">
        <v>173</v>
      </c>
      <c r="DC36" s="33">
        <v>73</v>
      </c>
      <c r="DD36" s="33">
        <v>73</v>
      </c>
      <c r="DE36" s="33">
        <v>14</v>
      </c>
      <c r="DF36" s="33">
        <v>4</v>
      </c>
      <c r="DG36" s="33">
        <v>4</v>
      </c>
      <c r="DH36" s="82" t="str">
        <f t="shared" si="13"/>
        <v>0</v>
      </c>
      <c r="DI36" s="82" t="str">
        <f t="shared" si="14"/>
        <v>0</v>
      </c>
      <c r="DJ36" s="83">
        <f t="shared" si="5"/>
        <v>11.967148330784694</v>
      </c>
    </row>
    <row r="37" spans="1:114" ht="15">
      <c r="A37" s="5" t="s">
        <v>107</v>
      </c>
      <c r="B37" s="60">
        <v>31</v>
      </c>
      <c r="C37" s="61" t="s">
        <v>94</v>
      </c>
      <c r="D37" s="62">
        <v>1985</v>
      </c>
      <c r="E37" s="63" t="s">
        <v>67</v>
      </c>
      <c r="F37" s="63" t="s">
        <v>134</v>
      </c>
      <c r="G37" s="64">
        <v>1</v>
      </c>
      <c r="H37" s="63">
        <v>9</v>
      </c>
      <c r="I37" s="63" t="s">
        <v>125</v>
      </c>
      <c r="J37" s="65">
        <v>19996</v>
      </c>
      <c r="K37" s="65">
        <v>1340</v>
      </c>
      <c r="L37" s="65" t="s">
        <v>214</v>
      </c>
      <c r="M37" s="65"/>
      <c r="N37" s="65">
        <v>1227</v>
      </c>
      <c r="O37" s="65">
        <v>96</v>
      </c>
      <c r="P37" s="65">
        <v>208</v>
      </c>
      <c r="Q37" s="65">
        <v>98</v>
      </c>
      <c r="R37" s="66">
        <v>157</v>
      </c>
      <c r="S37" s="67">
        <v>4991.1</v>
      </c>
      <c r="T37" s="68">
        <v>2832</v>
      </c>
      <c r="U37" s="69">
        <v>85</v>
      </c>
      <c r="V37" s="70">
        <v>4348.4</v>
      </c>
      <c r="W37" s="70">
        <v>2456.8</v>
      </c>
      <c r="X37" s="71">
        <f t="shared" si="6"/>
        <v>11</v>
      </c>
      <c r="Y37" s="72">
        <f t="shared" si="7"/>
        <v>642.7000000000007</v>
      </c>
      <c r="Z37" s="72">
        <f t="shared" si="8"/>
        <v>375.1999999999998</v>
      </c>
      <c r="AA37" s="72"/>
      <c r="AB37" s="72"/>
      <c r="AC37" s="72"/>
      <c r="AD37" s="72">
        <f t="shared" si="9"/>
        <v>707</v>
      </c>
      <c r="AE37" s="68">
        <f t="shared" si="10"/>
        <v>707</v>
      </c>
      <c r="AF37" s="73"/>
      <c r="AG37" s="68">
        <v>707</v>
      </c>
      <c r="AH37" s="73"/>
      <c r="AI37" s="73"/>
      <c r="AJ37" s="73">
        <f t="shared" si="15"/>
        <v>5698.1</v>
      </c>
      <c r="AK37" s="65"/>
      <c r="AL37" s="65">
        <v>3</v>
      </c>
      <c r="AM37" s="65">
        <v>3</v>
      </c>
      <c r="AN37" s="65">
        <v>3</v>
      </c>
      <c r="AO37" s="65"/>
      <c r="AP37" s="65">
        <v>3</v>
      </c>
      <c r="AQ37" s="65">
        <v>4680</v>
      </c>
      <c r="AR37" s="65">
        <v>583</v>
      </c>
      <c r="AS37" s="65">
        <v>340</v>
      </c>
      <c r="AT37" s="65">
        <v>262</v>
      </c>
      <c r="AU37" s="65">
        <v>210</v>
      </c>
      <c r="AV37" s="65">
        <f t="shared" si="16"/>
        <v>6360</v>
      </c>
      <c r="AW37" s="65"/>
      <c r="AX37" s="65">
        <v>6360</v>
      </c>
      <c r="AY37" s="65"/>
      <c r="AZ37" s="65">
        <v>274</v>
      </c>
      <c r="BA37" s="65">
        <v>1110</v>
      </c>
      <c r="BB37" s="65">
        <v>1110</v>
      </c>
      <c r="BC37" s="65">
        <v>0</v>
      </c>
      <c r="BD37" s="65">
        <v>6</v>
      </c>
      <c r="BE37" s="65">
        <v>256</v>
      </c>
      <c r="BF37" s="65">
        <v>654</v>
      </c>
      <c r="BG37" s="65"/>
      <c r="BH37" s="65">
        <v>17100</v>
      </c>
      <c r="BI37" s="65">
        <v>4905</v>
      </c>
      <c r="BJ37" s="65">
        <v>135</v>
      </c>
      <c r="BK37" s="65">
        <f>G37</f>
        <v>1</v>
      </c>
      <c r="BL37" s="65">
        <f>S37</f>
        <v>4991.1</v>
      </c>
      <c r="BM37" s="65">
        <f>T37</f>
        <v>2832</v>
      </c>
      <c r="BN37" s="65"/>
      <c r="BO37" s="65"/>
      <c r="BP37" s="65"/>
      <c r="BQ37" s="65"/>
      <c r="BR37" s="65"/>
      <c r="BS37" s="65"/>
      <c r="BT37" s="65"/>
      <c r="BU37" s="65">
        <v>3</v>
      </c>
      <c r="BV37" s="65">
        <f>BB37</f>
        <v>1110</v>
      </c>
      <c r="BW37" s="65">
        <v>10123</v>
      </c>
      <c r="BX37" s="65"/>
      <c r="BY37" s="65">
        <f>AQ37</f>
        <v>4680</v>
      </c>
      <c r="BZ37" s="74"/>
      <c r="CA37" s="74"/>
      <c r="CB37" s="74"/>
      <c r="CC37" s="74"/>
      <c r="CD37" s="74"/>
      <c r="CE37" s="74"/>
      <c r="CF37" s="74"/>
      <c r="CG37" s="75"/>
      <c r="CH37" s="76"/>
      <c r="CI37" s="77">
        <v>1111.7</v>
      </c>
      <c r="CJ37" s="78">
        <v>3695</v>
      </c>
      <c r="CK37" s="78">
        <f t="shared" si="0"/>
        <v>2355</v>
      </c>
      <c r="CL37" s="79" t="str">
        <f t="shared" si="17"/>
        <v>0</v>
      </c>
      <c r="CM37" s="80">
        <f t="shared" si="2"/>
        <v>0</v>
      </c>
      <c r="CN37" s="79">
        <f t="shared" si="3"/>
        <v>1</v>
      </c>
      <c r="CO37" s="80">
        <f t="shared" si="4"/>
        <v>6360</v>
      </c>
      <c r="CP37" s="80">
        <f t="shared" si="11"/>
        <v>1</v>
      </c>
      <c r="CQ37" s="80">
        <f t="shared" si="12"/>
        <v>6360</v>
      </c>
      <c r="CR37" s="52">
        <v>29</v>
      </c>
      <c r="CS37" s="33">
        <v>1</v>
      </c>
      <c r="CT37" s="33">
        <v>0</v>
      </c>
      <c r="CU37" s="33">
        <v>0</v>
      </c>
      <c r="CV37" s="33">
        <v>0</v>
      </c>
      <c r="CW37" s="33">
        <v>2</v>
      </c>
      <c r="CX37" s="33">
        <v>0</v>
      </c>
      <c r="CY37" s="33">
        <v>0</v>
      </c>
      <c r="CZ37" s="33">
        <v>0</v>
      </c>
      <c r="DA37" s="33">
        <v>0</v>
      </c>
      <c r="DB37" s="33">
        <v>82</v>
      </c>
      <c r="DC37" s="33">
        <v>38</v>
      </c>
      <c r="DD37" s="33">
        <v>38</v>
      </c>
      <c r="DE37" s="33">
        <v>6</v>
      </c>
      <c r="DF37" s="33">
        <v>1</v>
      </c>
      <c r="DG37" s="33">
        <v>1</v>
      </c>
      <c r="DH37" s="82" t="str">
        <f t="shared" si="13"/>
        <v>0</v>
      </c>
      <c r="DI37" s="82" t="str">
        <f t="shared" si="14"/>
        <v>0</v>
      </c>
      <c r="DJ37" s="83">
        <f t="shared" si="5"/>
        <v>12.876920919236253</v>
      </c>
    </row>
    <row r="38" spans="1:114" ht="15">
      <c r="A38" s="5" t="s">
        <v>107</v>
      </c>
      <c r="B38" s="60">
        <v>32</v>
      </c>
      <c r="C38" s="61" t="s">
        <v>95</v>
      </c>
      <c r="D38" s="62">
        <v>1983</v>
      </c>
      <c r="E38" s="63" t="s">
        <v>67</v>
      </c>
      <c r="F38" s="63" t="s">
        <v>134</v>
      </c>
      <c r="G38" s="64">
        <v>1</v>
      </c>
      <c r="H38" s="63">
        <v>9</v>
      </c>
      <c r="I38" s="63" t="s">
        <v>125</v>
      </c>
      <c r="J38" s="65">
        <v>12849</v>
      </c>
      <c r="K38" s="65">
        <v>1075</v>
      </c>
      <c r="L38" s="65" t="s">
        <v>215</v>
      </c>
      <c r="M38" s="65"/>
      <c r="N38" s="65">
        <v>1075</v>
      </c>
      <c r="O38" s="65">
        <v>63</v>
      </c>
      <c r="P38" s="65">
        <v>143</v>
      </c>
      <c r="Q38" s="65">
        <v>66</v>
      </c>
      <c r="R38" s="66">
        <v>126</v>
      </c>
      <c r="S38" s="67">
        <v>3308.6</v>
      </c>
      <c r="T38" s="68">
        <v>1941.4</v>
      </c>
      <c r="U38" s="69">
        <v>57</v>
      </c>
      <c r="V38" s="70">
        <v>2945.9999999999995</v>
      </c>
      <c r="W38" s="70">
        <v>1720.8999999999999</v>
      </c>
      <c r="X38" s="71">
        <f t="shared" si="6"/>
        <v>6</v>
      </c>
      <c r="Y38" s="72">
        <f t="shared" si="7"/>
        <v>362.60000000000036</v>
      </c>
      <c r="Z38" s="72">
        <f t="shared" si="8"/>
        <v>220.50000000000023</v>
      </c>
      <c r="AA38" s="72"/>
      <c r="AB38" s="72"/>
      <c r="AC38" s="72"/>
      <c r="AD38" s="72">
        <f t="shared" si="9"/>
        <v>640.5</v>
      </c>
      <c r="AE38" s="68">
        <f t="shared" si="10"/>
        <v>640.5</v>
      </c>
      <c r="AF38" s="73"/>
      <c r="AG38" s="68">
        <v>640.5</v>
      </c>
      <c r="AH38" s="73"/>
      <c r="AI38" s="73"/>
      <c r="AJ38" s="73">
        <f t="shared" si="15"/>
        <v>3949.1</v>
      </c>
      <c r="AK38" s="65"/>
      <c r="AL38" s="65">
        <v>2</v>
      </c>
      <c r="AM38" s="65">
        <v>2</v>
      </c>
      <c r="AN38" s="65">
        <v>2</v>
      </c>
      <c r="AO38" s="65"/>
      <c r="AP38" s="65">
        <v>2</v>
      </c>
      <c r="AQ38" s="65">
        <v>4680</v>
      </c>
      <c r="AR38" s="65">
        <v>583</v>
      </c>
      <c r="AS38" s="65">
        <v>215</v>
      </c>
      <c r="AT38" s="65">
        <v>234</v>
      </c>
      <c r="AU38" s="65">
        <v>140</v>
      </c>
      <c r="AV38" s="65">
        <f t="shared" si="16"/>
        <v>4240</v>
      </c>
      <c r="AW38" s="65"/>
      <c r="AX38" s="65">
        <v>4240</v>
      </c>
      <c r="AY38" s="65"/>
      <c r="AZ38" s="65">
        <v>195</v>
      </c>
      <c r="BA38" s="65">
        <v>980</v>
      </c>
      <c r="BB38" s="65">
        <v>980</v>
      </c>
      <c r="BC38" s="65">
        <v>0</v>
      </c>
      <c r="BD38" s="65">
        <v>4</v>
      </c>
      <c r="BE38" s="65">
        <v>237</v>
      </c>
      <c r="BF38" s="65">
        <v>584</v>
      </c>
      <c r="BG38" s="65"/>
      <c r="BH38" s="65">
        <v>11400</v>
      </c>
      <c r="BI38" s="65">
        <v>3270</v>
      </c>
      <c r="BJ38" s="65">
        <v>90</v>
      </c>
      <c r="BK38" s="65">
        <f>G38</f>
        <v>1</v>
      </c>
      <c r="BL38" s="65">
        <f>S38</f>
        <v>3308.6</v>
      </c>
      <c r="BM38" s="65">
        <f>T38</f>
        <v>1941.4</v>
      </c>
      <c r="BN38" s="65"/>
      <c r="BO38" s="65"/>
      <c r="BP38" s="65"/>
      <c r="BQ38" s="65"/>
      <c r="BR38" s="65"/>
      <c r="BS38" s="65"/>
      <c r="BT38" s="65"/>
      <c r="BU38" s="65">
        <v>1</v>
      </c>
      <c r="BV38" s="65">
        <f>BB38</f>
        <v>980</v>
      </c>
      <c r="BW38" s="65">
        <v>7036</v>
      </c>
      <c r="BX38" s="65"/>
      <c r="BY38" s="65">
        <f>AQ38</f>
        <v>4680</v>
      </c>
      <c r="BZ38" s="74"/>
      <c r="CA38" s="74"/>
      <c r="CB38" s="74"/>
      <c r="CC38" s="74"/>
      <c r="CD38" s="74"/>
      <c r="CE38" s="74"/>
      <c r="CF38" s="74"/>
      <c r="CG38" s="75"/>
      <c r="CH38" s="76"/>
      <c r="CI38" s="77">
        <v>722.6</v>
      </c>
      <c r="CJ38" s="78">
        <v>2686</v>
      </c>
      <c r="CK38" s="78">
        <f t="shared" si="0"/>
        <v>1611</v>
      </c>
      <c r="CL38" s="79" t="str">
        <f t="shared" si="17"/>
        <v>0</v>
      </c>
      <c r="CM38" s="80">
        <f t="shared" si="2"/>
        <v>0</v>
      </c>
      <c r="CN38" s="79">
        <f t="shared" si="3"/>
        <v>1</v>
      </c>
      <c r="CO38" s="80">
        <f t="shared" si="4"/>
        <v>4240</v>
      </c>
      <c r="CP38" s="80">
        <f t="shared" si="11"/>
        <v>1</v>
      </c>
      <c r="CQ38" s="80">
        <f t="shared" si="12"/>
        <v>4240</v>
      </c>
      <c r="CR38" s="52">
        <v>35</v>
      </c>
      <c r="CS38" s="33">
        <v>1</v>
      </c>
      <c r="CT38" s="33">
        <v>0</v>
      </c>
      <c r="CU38" s="33">
        <v>0</v>
      </c>
      <c r="CV38" s="33">
        <v>0</v>
      </c>
      <c r="CW38" s="33">
        <v>2</v>
      </c>
      <c r="CX38" s="33">
        <v>0</v>
      </c>
      <c r="CY38" s="33">
        <v>0</v>
      </c>
      <c r="CZ38" s="33">
        <v>0</v>
      </c>
      <c r="DA38" s="33">
        <v>0</v>
      </c>
      <c r="DB38" s="33">
        <v>62</v>
      </c>
      <c r="DC38" s="33">
        <v>19</v>
      </c>
      <c r="DD38" s="33">
        <v>19</v>
      </c>
      <c r="DE38" s="33">
        <v>5</v>
      </c>
      <c r="DF38" s="33">
        <v>0</v>
      </c>
      <c r="DG38" s="33">
        <v>0</v>
      </c>
      <c r="DH38" s="82" t="str">
        <f t="shared" si="13"/>
        <v>0</v>
      </c>
      <c r="DI38" s="82" t="str">
        <f t="shared" si="14"/>
        <v>0</v>
      </c>
      <c r="DJ38" s="83">
        <f t="shared" si="5"/>
        <v>10.959318140603287</v>
      </c>
    </row>
    <row r="39" spans="1:114" ht="13.5" customHeight="1">
      <c r="A39" s="5" t="s">
        <v>107</v>
      </c>
      <c r="B39" s="60">
        <v>33</v>
      </c>
      <c r="C39" s="61" t="s">
        <v>96</v>
      </c>
      <c r="D39" s="62">
        <v>1981</v>
      </c>
      <c r="E39" s="63" t="s">
        <v>67</v>
      </c>
      <c r="F39" s="63" t="s">
        <v>28</v>
      </c>
      <c r="G39" s="64">
        <v>1</v>
      </c>
      <c r="H39" s="63">
        <v>9</v>
      </c>
      <c r="I39" s="63" t="s">
        <v>124</v>
      </c>
      <c r="J39" s="65">
        <v>19902</v>
      </c>
      <c r="K39" s="65">
        <v>766</v>
      </c>
      <c r="L39" s="65" t="s">
        <v>216</v>
      </c>
      <c r="M39" s="65"/>
      <c r="N39" s="65">
        <v>723</v>
      </c>
      <c r="O39" s="65">
        <v>70</v>
      </c>
      <c r="P39" s="65">
        <v>197</v>
      </c>
      <c r="Q39" s="65">
        <v>72</v>
      </c>
      <c r="R39" s="66">
        <v>171</v>
      </c>
      <c r="S39" s="67">
        <v>4520.5</v>
      </c>
      <c r="T39" s="68">
        <v>2865.8</v>
      </c>
      <c r="U39" s="69">
        <v>62</v>
      </c>
      <c r="V39" s="70">
        <v>3964.400000000001</v>
      </c>
      <c r="W39" s="70">
        <v>2509.4999999999986</v>
      </c>
      <c r="X39" s="71">
        <f t="shared" si="6"/>
        <v>8</v>
      </c>
      <c r="Y39" s="72">
        <f t="shared" si="7"/>
        <v>556.099999999999</v>
      </c>
      <c r="Z39" s="72">
        <f t="shared" si="8"/>
        <v>356.30000000000155</v>
      </c>
      <c r="AA39" s="72"/>
      <c r="AB39" s="72"/>
      <c r="AC39" s="72"/>
      <c r="AD39" s="72">
        <f t="shared" si="9"/>
        <v>0</v>
      </c>
      <c r="AE39" s="68">
        <f t="shared" si="10"/>
        <v>0</v>
      </c>
      <c r="AF39" s="73"/>
      <c r="AG39" s="68">
        <v>0</v>
      </c>
      <c r="AH39" s="73"/>
      <c r="AI39" s="73"/>
      <c r="AJ39" s="73">
        <f t="shared" si="15"/>
        <v>4520.5</v>
      </c>
      <c r="AK39" s="65"/>
      <c r="AL39" s="65">
        <v>2</v>
      </c>
      <c r="AM39" s="65">
        <v>2</v>
      </c>
      <c r="AN39" s="65">
        <v>1</v>
      </c>
      <c r="AO39" s="65"/>
      <c r="AP39" s="65">
        <v>2</v>
      </c>
      <c r="AQ39" s="65">
        <v>3930</v>
      </c>
      <c r="AR39" s="65"/>
      <c r="AS39" s="65">
        <v>391</v>
      </c>
      <c r="AT39" s="65">
        <v>157</v>
      </c>
      <c r="AU39" s="65">
        <v>286</v>
      </c>
      <c r="AV39" s="65">
        <f t="shared" si="16"/>
        <v>7246</v>
      </c>
      <c r="AW39" s="65"/>
      <c r="AX39" s="65">
        <v>7246</v>
      </c>
      <c r="AY39" s="65">
        <v>2140</v>
      </c>
      <c r="AZ39" s="65">
        <v>165</v>
      </c>
      <c r="BA39" s="65">
        <v>723</v>
      </c>
      <c r="BB39" s="65">
        <v>723</v>
      </c>
      <c r="BC39" s="65">
        <v>34</v>
      </c>
      <c r="BD39" s="65">
        <v>4</v>
      </c>
      <c r="BE39" s="65">
        <v>237</v>
      </c>
      <c r="BF39" s="65">
        <v>584</v>
      </c>
      <c r="BG39" s="65"/>
      <c r="BH39" s="65">
        <v>7600</v>
      </c>
      <c r="BI39" s="65">
        <v>3270</v>
      </c>
      <c r="BJ39" s="65">
        <v>90</v>
      </c>
      <c r="BK39" s="65"/>
      <c r="BL39" s="65"/>
      <c r="BM39" s="65"/>
      <c r="BN39" s="65">
        <f>G39</f>
        <v>1</v>
      </c>
      <c r="BO39" s="65">
        <f>S39</f>
        <v>4520.5</v>
      </c>
      <c r="BP39" s="65">
        <f>T39</f>
        <v>2865.8</v>
      </c>
      <c r="BQ39" s="65"/>
      <c r="BR39" s="65"/>
      <c r="BS39" s="65"/>
      <c r="BT39" s="65"/>
      <c r="BU39" s="65">
        <v>2</v>
      </c>
      <c r="BV39" s="65"/>
      <c r="BW39" s="65"/>
      <c r="BX39" s="65"/>
      <c r="BY39" s="65"/>
      <c r="BZ39" s="74"/>
      <c r="CA39" s="74"/>
      <c r="CB39" s="74"/>
      <c r="CC39" s="74"/>
      <c r="CD39" s="74"/>
      <c r="CE39" s="74"/>
      <c r="CF39" s="74"/>
      <c r="CG39" s="75"/>
      <c r="CH39" s="76"/>
      <c r="CI39" s="77">
        <v>752.9</v>
      </c>
      <c r="CJ39" s="78">
        <v>2136</v>
      </c>
      <c r="CK39" s="78">
        <f aca="true" t="shared" si="22" ref="CK39:CK65">CJ39-K39</f>
        <v>1370</v>
      </c>
      <c r="CL39" s="79" t="str">
        <f t="shared" si="17"/>
        <v>0</v>
      </c>
      <c r="CM39" s="80">
        <f aca="true" t="shared" si="23" ref="CM39:CM65">AW39</f>
        <v>0</v>
      </c>
      <c r="CN39" s="79">
        <f aca="true" t="shared" si="24" ref="CN39:CN65">IF(CO39&gt;0,G39,"0")</f>
        <v>1</v>
      </c>
      <c r="CO39" s="80">
        <f aca="true" t="shared" si="25" ref="CO39:CO65">AX39</f>
        <v>7246</v>
      </c>
      <c r="CP39" s="80">
        <f t="shared" si="11"/>
        <v>1</v>
      </c>
      <c r="CQ39" s="80">
        <f t="shared" si="12"/>
        <v>7246</v>
      </c>
      <c r="CR39" s="52">
        <v>24</v>
      </c>
      <c r="CS39" s="33">
        <v>1</v>
      </c>
      <c r="CT39" s="33">
        <v>1</v>
      </c>
      <c r="CU39" s="33">
        <v>1</v>
      </c>
      <c r="CV39" s="33">
        <v>1</v>
      </c>
      <c r="CW39" s="33">
        <v>2</v>
      </c>
      <c r="CX39" s="33">
        <v>0</v>
      </c>
      <c r="CY39" s="33">
        <v>0</v>
      </c>
      <c r="CZ39" s="33">
        <v>0</v>
      </c>
      <c r="DA39" s="33">
        <v>2</v>
      </c>
      <c r="DB39" s="33">
        <v>63</v>
      </c>
      <c r="DC39" s="33">
        <v>31</v>
      </c>
      <c r="DD39" s="33">
        <v>31</v>
      </c>
      <c r="DE39" s="33">
        <v>5</v>
      </c>
      <c r="DF39" s="33">
        <v>2</v>
      </c>
      <c r="DG39" s="33">
        <v>2</v>
      </c>
      <c r="DH39" s="82" t="str">
        <f t="shared" si="13"/>
        <v>0</v>
      </c>
      <c r="DI39" s="82" t="str">
        <f t="shared" si="14"/>
        <v>0</v>
      </c>
      <c r="DJ39" s="83">
        <f t="shared" si="5"/>
        <v>12.301736533569272</v>
      </c>
    </row>
    <row r="40" spans="1:114" ht="15">
      <c r="A40" s="5" t="s">
        <v>107</v>
      </c>
      <c r="B40" s="60">
        <v>34</v>
      </c>
      <c r="C40" s="93" t="s">
        <v>142</v>
      </c>
      <c r="D40" s="62">
        <v>1983</v>
      </c>
      <c r="E40" s="63" t="s">
        <v>67</v>
      </c>
      <c r="F40" s="63" t="s">
        <v>28</v>
      </c>
      <c r="G40" s="64">
        <v>1</v>
      </c>
      <c r="H40" s="63">
        <v>9</v>
      </c>
      <c r="I40" s="63" t="s">
        <v>139</v>
      </c>
      <c r="J40" s="65">
        <f>18946+16017+18838</f>
        <v>53801</v>
      </c>
      <c r="K40" s="65">
        <f>562+744+732</f>
        <v>2038</v>
      </c>
      <c r="L40" s="65" t="s">
        <v>217</v>
      </c>
      <c r="M40" s="65"/>
      <c r="N40" s="65">
        <f>704+562+692</f>
        <v>1958</v>
      </c>
      <c r="O40" s="65">
        <v>194</v>
      </c>
      <c r="P40" s="65">
        <v>480</v>
      </c>
      <c r="Q40" s="65">
        <v>197</v>
      </c>
      <c r="R40" s="66">
        <v>460</v>
      </c>
      <c r="S40" s="67">
        <v>11814.4</v>
      </c>
      <c r="T40" s="68">
        <v>7222</v>
      </c>
      <c r="U40" s="69">
        <v>179</v>
      </c>
      <c r="V40" s="70">
        <v>10791</v>
      </c>
      <c r="W40" s="70">
        <v>6581.300000000002</v>
      </c>
      <c r="X40" s="71">
        <f t="shared" si="6"/>
        <v>15</v>
      </c>
      <c r="Y40" s="72">
        <f t="shared" si="7"/>
        <v>1023.3999999999996</v>
      </c>
      <c r="Z40" s="72">
        <f t="shared" si="8"/>
        <v>640.699999999998</v>
      </c>
      <c r="AA40" s="72"/>
      <c r="AB40" s="72"/>
      <c r="AC40" s="72"/>
      <c r="AD40" s="72">
        <f t="shared" si="9"/>
        <v>0</v>
      </c>
      <c r="AE40" s="68">
        <f t="shared" si="10"/>
        <v>0</v>
      </c>
      <c r="AF40" s="73"/>
      <c r="AG40" s="68">
        <v>0</v>
      </c>
      <c r="AH40" s="73"/>
      <c r="AI40" s="73"/>
      <c r="AJ40" s="73">
        <f t="shared" si="15"/>
        <v>11814.4</v>
      </c>
      <c r="AK40" s="65"/>
      <c r="AL40" s="65">
        <v>5</v>
      </c>
      <c r="AM40" s="65">
        <v>5</v>
      </c>
      <c r="AN40" s="65">
        <v>5</v>
      </c>
      <c r="AO40" s="65"/>
      <c r="AP40" s="65">
        <v>5</v>
      </c>
      <c r="AQ40" s="65">
        <f>3500+2130+3500</f>
        <v>9130</v>
      </c>
      <c r="AR40" s="65">
        <v>1166</v>
      </c>
      <c r="AS40" s="65">
        <v>690</v>
      </c>
      <c r="AT40" s="65">
        <f>174+107+209</f>
        <v>490</v>
      </c>
      <c r="AU40" s="65">
        <f>286+143+286</f>
        <v>715</v>
      </c>
      <c r="AV40" s="65">
        <f t="shared" si="16"/>
        <v>19928</v>
      </c>
      <c r="AW40" s="65"/>
      <c r="AX40" s="65">
        <f>7246+5436+7246</f>
        <v>19928</v>
      </c>
      <c r="AY40" s="65">
        <f>1900+1900</f>
        <v>3800</v>
      </c>
      <c r="AZ40" s="65">
        <f>164+143+163</f>
        <v>470</v>
      </c>
      <c r="BA40" s="65">
        <f>699+562+692</f>
        <v>1953</v>
      </c>
      <c r="BB40" s="65">
        <f>699+562+692</f>
        <v>1953</v>
      </c>
      <c r="BC40" s="65">
        <f>34+17+34</f>
        <v>85</v>
      </c>
      <c r="BD40" s="65">
        <f>4+2+4</f>
        <v>10</v>
      </c>
      <c r="BE40" s="65">
        <f>188+160+257</f>
        <v>605</v>
      </c>
      <c r="BF40" s="65">
        <f>608+484+677</f>
        <v>1769</v>
      </c>
      <c r="BG40" s="65"/>
      <c r="BH40" s="65">
        <f>7600+3800+7600</f>
        <v>19000</v>
      </c>
      <c r="BI40" s="65">
        <f>3270+1635+3270</f>
        <v>8175</v>
      </c>
      <c r="BJ40" s="65">
        <f>90+45+90</f>
        <v>225</v>
      </c>
      <c r="BK40" s="65"/>
      <c r="BL40" s="65"/>
      <c r="BM40" s="65"/>
      <c r="BN40" s="65"/>
      <c r="BO40" s="65"/>
      <c r="BP40" s="65"/>
      <c r="BQ40" s="65">
        <f>G40</f>
        <v>1</v>
      </c>
      <c r="BR40" s="65">
        <f>S40</f>
        <v>11814.4</v>
      </c>
      <c r="BS40" s="65">
        <f>T40</f>
        <v>7222</v>
      </c>
      <c r="BT40" s="65"/>
      <c r="BU40" s="65">
        <v>4</v>
      </c>
      <c r="BV40" s="65"/>
      <c r="BW40" s="65"/>
      <c r="BX40" s="65"/>
      <c r="BY40" s="65">
        <v>2130</v>
      </c>
      <c r="BZ40" s="74"/>
      <c r="CA40" s="74"/>
      <c r="CB40" s="74"/>
      <c r="CC40" s="74"/>
      <c r="CD40" s="74"/>
      <c r="CE40" s="74"/>
      <c r="CF40" s="74"/>
      <c r="CG40" s="75"/>
      <c r="CH40" s="76"/>
      <c r="CI40" s="77">
        <v>2047.4</v>
      </c>
      <c r="CJ40" s="78">
        <v>4221</v>
      </c>
      <c r="CK40" s="78">
        <f t="shared" si="22"/>
        <v>2183</v>
      </c>
      <c r="CL40" s="79" t="str">
        <f t="shared" si="17"/>
        <v>0</v>
      </c>
      <c r="CM40" s="80">
        <f t="shared" si="23"/>
        <v>0</v>
      </c>
      <c r="CN40" s="79">
        <f t="shared" si="24"/>
        <v>1</v>
      </c>
      <c r="CO40" s="80">
        <f t="shared" si="25"/>
        <v>19928</v>
      </c>
      <c r="CP40" s="80">
        <f t="shared" si="11"/>
        <v>1</v>
      </c>
      <c r="CQ40" s="80">
        <f t="shared" si="12"/>
        <v>19928</v>
      </c>
      <c r="CR40" s="52">
        <v>17</v>
      </c>
      <c r="CS40" s="33">
        <v>1</v>
      </c>
      <c r="CT40" s="33">
        <v>0</v>
      </c>
      <c r="CU40" s="33">
        <v>0</v>
      </c>
      <c r="CV40" s="33">
        <v>0</v>
      </c>
      <c r="CW40" s="33">
        <v>4</v>
      </c>
      <c r="CX40" s="33">
        <v>0</v>
      </c>
      <c r="CY40" s="33">
        <v>0</v>
      </c>
      <c r="CZ40" s="33">
        <v>0</v>
      </c>
      <c r="DA40" s="33">
        <v>0</v>
      </c>
      <c r="DB40" s="33">
        <v>177</v>
      </c>
      <c r="DC40" s="33">
        <v>99</v>
      </c>
      <c r="DD40" s="33">
        <v>99</v>
      </c>
      <c r="DE40" s="33">
        <v>14</v>
      </c>
      <c r="DF40" s="33">
        <v>6</v>
      </c>
      <c r="DG40" s="33">
        <v>6</v>
      </c>
      <c r="DH40" s="82" t="str">
        <f t="shared" si="13"/>
        <v>0</v>
      </c>
      <c r="DI40" s="82" t="str">
        <f t="shared" si="14"/>
        <v>0</v>
      </c>
      <c r="DJ40" s="83">
        <f t="shared" si="5"/>
        <v>8.662310400866737</v>
      </c>
    </row>
    <row r="41" spans="1:114" ht="15">
      <c r="A41" s="5" t="s">
        <v>107</v>
      </c>
      <c r="B41" s="60">
        <v>35</v>
      </c>
      <c r="C41" s="61" t="s">
        <v>144</v>
      </c>
      <c r="D41" s="62">
        <v>1987</v>
      </c>
      <c r="E41" s="63" t="s">
        <v>67</v>
      </c>
      <c r="F41" s="63" t="s">
        <v>135</v>
      </c>
      <c r="G41" s="64">
        <v>1</v>
      </c>
      <c r="H41" s="63">
        <v>12</v>
      </c>
      <c r="I41" s="63" t="s">
        <v>125</v>
      </c>
      <c r="J41" s="65">
        <f>26834+27061</f>
        <v>53895</v>
      </c>
      <c r="K41" s="65">
        <f>1358+1477</f>
        <v>2835</v>
      </c>
      <c r="L41" s="65" t="s">
        <v>218</v>
      </c>
      <c r="M41" s="65"/>
      <c r="N41" s="65">
        <f>1269+1361</f>
        <v>2630</v>
      </c>
      <c r="O41" s="65">
        <v>132</v>
      </c>
      <c r="P41" s="65">
        <v>220</v>
      </c>
      <c r="Q41" s="65">
        <v>134</v>
      </c>
      <c r="R41" s="66">
        <v>206</v>
      </c>
      <c r="S41" s="67">
        <v>6466.5</v>
      </c>
      <c r="T41" s="68">
        <v>3480.2</v>
      </c>
      <c r="U41" s="69">
        <v>120</v>
      </c>
      <c r="V41" s="70">
        <v>5880.500000000002</v>
      </c>
      <c r="W41" s="70">
        <v>3163.8</v>
      </c>
      <c r="X41" s="71">
        <f t="shared" si="6"/>
        <v>12</v>
      </c>
      <c r="Y41" s="72">
        <f t="shared" si="7"/>
        <v>585.9999999999982</v>
      </c>
      <c r="Z41" s="72">
        <f t="shared" si="8"/>
        <v>316.39999999999964</v>
      </c>
      <c r="AA41" s="72"/>
      <c r="AB41" s="72"/>
      <c r="AC41" s="72"/>
      <c r="AD41" s="72">
        <f t="shared" si="9"/>
        <v>1377.5</v>
      </c>
      <c r="AE41" s="68">
        <f t="shared" si="10"/>
        <v>1377.5</v>
      </c>
      <c r="AF41" s="73"/>
      <c r="AG41" s="68">
        <v>1377.5</v>
      </c>
      <c r="AH41" s="73"/>
      <c r="AI41" s="73"/>
      <c r="AJ41" s="73">
        <f t="shared" si="15"/>
        <v>7844</v>
      </c>
      <c r="AK41" s="65"/>
      <c r="AL41" s="65">
        <f>2+2</f>
        <v>4</v>
      </c>
      <c r="AM41" s="65">
        <f>1+1</f>
        <v>2</v>
      </c>
      <c r="AN41" s="65">
        <f>1+1</f>
        <v>2</v>
      </c>
      <c r="AO41" s="65"/>
      <c r="AP41" s="65">
        <f>1+1</f>
        <v>2</v>
      </c>
      <c r="AQ41" s="65">
        <f>5600+5600</f>
        <v>11200</v>
      </c>
      <c r="AR41" s="65"/>
      <c r="AS41" s="65">
        <f>1120</f>
        <v>1120</v>
      </c>
      <c r="AT41" s="65">
        <f>256+256</f>
        <v>512</v>
      </c>
      <c r="AU41" s="65">
        <f>156+156</f>
        <v>312</v>
      </c>
      <c r="AV41" s="65">
        <f>SUM(AW41+AX41)</f>
        <v>17584</v>
      </c>
      <c r="AW41" s="65"/>
      <c r="AX41" s="65">
        <f>8792+8792</f>
        <v>17584</v>
      </c>
      <c r="AY41" s="65"/>
      <c r="AZ41" s="65">
        <f>154+153</f>
        <v>307</v>
      </c>
      <c r="BA41" s="65">
        <f>1225+1223</f>
        <v>2448</v>
      </c>
      <c r="BB41" s="65">
        <f>1225+1223</f>
        <v>2448</v>
      </c>
      <c r="BC41" s="65"/>
      <c r="BD41" s="65">
        <f>2+2</f>
        <v>4</v>
      </c>
      <c r="BE41" s="65">
        <f>176+176</f>
        <v>352</v>
      </c>
      <c r="BF41" s="65">
        <f>572+574</f>
        <v>1146</v>
      </c>
      <c r="BG41" s="65"/>
      <c r="BH41" s="65">
        <f>7600+7600</f>
        <v>15200</v>
      </c>
      <c r="BI41" s="65">
        <f>3270+3270</f>
        <v>6540</v>
      </c>
      <c r="BJ41" s="65">
        <f>120+120</f>
        <v>240</v>
      </c>
      <c r="BK41" s="65">
        <f>G41</f>
        <v>1</v>
      </c>
      <c r="BL41" s="65">
        <f aca="true" t="shared" si="26" ref="BL41:BM44">S41</f>
        <v>6466.5</v>
      </c>
      <c r="BM41" s="65">
        <f t="shared" si="26"/>
        <v>3480.2</v>
      </c>
      <c r="BN41" s="65"/>
      <c r="BO41" s="65"/>
      <c r="BP41" s="65"/>
      <c r="BQ41" s="65"/>
      <c r="BR41" s="65"/>
      <c r="BS41" s="65"/>
      <c r="BT41" s="65"/>
      <c r="BU41" s="65">
        <v>3</v>
      </c>
      <c r="BV41" s="65">
        <f>BB41</f>
        <v>2448</v>
      </c>
      <c r="BW41" s="65">
        <v>10480</v>
      </c>
      <c r="BX41" s="65"/>
      <c r="BY41" s="65">
        <f>AQ41</f>
        <v>11200</v>
      </c>
      <c r="BZ41" s="74"/>
      <c r="CA41" s="74"/>
      <c r="CB41" s="74"/>
      <c r="CC41" s="74"/>
      <c r="CD41" s="74"/>
      <c r="CE41" s="74"/>
      <c r="CF41" s="74"/>
      <c r="CG41" s="75"/>
      <c r="CH41" s="76"/>
      <c r="CI41" s="77">
        <v>2084.4</v>
      </c>
      <c r="CJ41" s="78">
        <v>6817</v>
      </c>
      <c r="CK41" s="78">
        <f t="shared" si="22"/>
        <v>3982</v>
      </c>
      <c r="CL41" s="79" t="str">
        <f t="shared" si="17"/>
        <v>0</v>
      </c>
      <c r="CM41" s="80">
        <f t="shared" si="23"/>
        <v>0</v>
      </c>
      <c r="CN41" s="79">
        <f t="shared" si="24"/>
        <v>1</v>
      </c>
      <c r="CO41" s="80">
        <f t="shared" si="25"/>
        <v>17584</v>
      </c>
      <c r="CP41" s="80">
        <f t="shared" si="11"/>
        <v>1</v>
      </c>
      <c r="CQ41" s="80">
        <f t="shared" si="12"/>
        <v>17584</v>
      </c>
      <c r="CR41" s="52">
        <v>26</v>
      </c>
      <c r="CS41" s="33">
        <v>1</v>
      </c>
      <c r="CT41" s="33">
        <v>0</v>
      </c>
      <c r="CU41" s="33">
        <v>0</v>
      </c>
      <c r="CV41" s="33">
        <v>0</v>
      </c>
      <c r="CW41" s="33">
        <v>4</v>
      </c>
      <c r="CX41" s="33">
        <v>0</v>
      </c>
      <c r="CY41" s="33">
        <v>0</v>
      </c>
      <c r="CZ41" s="33">
        <v>0</v>
      </c>
      <c r="DA41" s="33">
        <v>0</v>
      </c>
      <c r="DB41" s="33">
        <v>125</v>
      </c>
      <c r="DC41" s="33">
        <v>53</v>
      </c>
      <c r="DD41" s="33">
        <v>53</v>
      </c>
      <c r="DE41" s="33">
        <v>8</v>
      </c>
      <c r="DF41" s="33">
        <v>3</v>
      </c>
      <c r="DG41" s="33">
        <v>3</v>
      </c>
      <c r="DH41" s="82" t="str">
        <f t="shared" si="13"/>
        <v>0</v>
      </c>
      <c r="DI41" s="82" t="str">
        <f t="shared" si="14"/>
        <v>0</v>
      </c>
      <c r="DJ41" s="83">
        <f t="shared" si="5"/>
        <v>9.062089229103815</v>
      </c>
    </row>
    <row r="42" spans="1:114" ht="15">
      <c r="A42" s="5" t="s">
        <v>107</v>
      </c>
      <c r="B42" s="60">
        <v>36</v>
      </c>
      <c r="C42" s="61" t="s">
        <v>104</v>
      </c>
      <c r="D42" s="62">
        <v>1956</v>
      </c>
      <c r="E42" s="63" t="s">
        <v>67</v>
      </c>
      <c r="F42" s="63" t="s">
        <v>29</v>
      </c>
      <c r="G42" s="64">
        <v>1</v>
      </c>
      <c r="H42" s="63">
        <v>4</v>
      </c>
      <c r="I42" s="63" t="s">
        <v>125</v>
      </c>
      <c r="J42" s="65">
        <v>22481</v>
      </c>
      <c r="K42" s="65">
        <v>1728</v>
      </c>
      <c r="L42" s="65" t="s">
        <v>219</v>
      </c>
      <c r="M42" s="65">
        <v>2038</v>
      </c>
      <c r="N42" s="65"/>
      <c r="O42" s="65">
        <v>50</v>
      </c>
      <c r="P42" s="65">
        <v>135</v>
      </c>
      <c r="Q42" s="65">
        <v>53</v>
      </c>
      <c r="R42" s="66">
        <v>109</v>
      </c>
      <c r="S42" s="67">
        <v>3787.4</v>
      </c>
      <c r="T42" s="94">
        <v>2279.1</v>
      </c>
      <c r="U42" s="69">
        <v>48</v>
      </c>
      <c r="V42" s="70">
        <v>3661.9999999999995</v>
      </c>
      <c r="W42" s="70">
        <v>2209.400000000001</v>
      </c>
      <c r="X42" s="71">
        <f t="shared" si="6"/>
        <v>2</v>
      </c>
      <c r="Y42" s="72">
        <f t="shared" si="7"/>
        <v>125.40000000000055</v>
      </c>
      <c r="Z42" s="72">
        <f t="shared" si="8"/>
        <v>69.69999999999891</v>
      </c>
      <c r="AA42" s="72"/>
      <c r="AB42" s="72"/>
      <c r="AC42" s="72"/>
      <c r="AD42" s="72">
        <f t="shared" si="9"/>
        <v>1048.9</v>
      </c>
      <c r="AE42" s="68">
        <f t="shared" si="10"/>
        <v>335.20000000000005</v>
      </c>
      <c r="AF42" s="73"/>
      <c r="AG42" s="68">
        <f>313.6+21.6</f>
        <v>335.20000000000005</v>
      </c>
      <c r="AH42" s="73">
        <f>735.3-21.6</f>
        <v>713.6999999999999</v>
      </c>
      <c r="AI42" s="73"/>
      <c r="AJ42" s="73">
        <f t="shared" si="15"/>
        <v>4836.3</v>
      </c>
      <c r="AK42" s="65"/>
      <c r="AL42" s="65"/>
      <c r="AM42" s="65">
        <v>4</v>
      </c>
      <c r="AN42" s="65"/>
      <c r="AO42" s="65"/>
      <c r="AP42" s="65">
        <v>1</v>
      </c>
      <c r="AQ42" s="65">
        <v>3999</v>
      </c>
      <c r="AR42" s="65">
        <v>585</v>
      </c>
      <c r="AS42" s="65">
        <v>695</v>
      </c>
      <c r="AT42" s="65">
        <v>254</v>
      </c>
      <c r="AU42" s="65">
        <v>120</v>
      </c>
      <c r="AV42" s="65">
        <f>SUM(AW42+AX42)</f>
        <v>3380</v>
      </c>
      <c r="AW42" s="65"/>
      <c r="AX42" s="65">
        <v>3380</v>
      </c>
      <c r="AY42" s="65"/>
      <c r="AZ42" s="65">
        <v>103</v>
      </c>
      <c r="BA42" s="65">
        <v>1703</v>
      </c>
      <c r="BB42" s="65">
        <v>1703</v>
      </c>
      <c r="BC42" s="65">
        <v>16</v>
      </c>
      <c r="BD42" s="65">
        <v>12</v>
      </c>
      <c r="BE42" s="65">
        <v>210</v>
      </c>
      <c r="BF42" s="65">
        <v>507</v>
      </c>
      <c r="BG42" s="65"/>
      <c r="BH42" s="65">
        <v>4057</v>
      </c>
      <c r="BI42" s="65">
        <v>120</v>
      </c>
      <c r="BJ42" s="65"/>
      <c r="BK42" s="65">
        <f>G42</f>
        <v>1</v>
      </c>
      <c r="BL42" s="65">
        <f t="shared" si="26"/>
        <v>3787.4</v>
      </c>
      <c r="BM42" s="65">
        <f t="shared" si="26"/>
        <v>2279.1</v>
      </c>
      <c r="BN42" s="65"/>
      <c r="BO42" s="65"/>
      <c r="BP42" s="65"/>
      <c r="BQ42" s="65"/>
      <c r="BR42" s="65"/>
      <c r="BS42" s="65"/>
      <c r="BT42" s="65"/>
      <c r="BU42" s="65">
        <v>2</v>
      </c>
      <c r="BV42" s="65">
        <f>BB42</f>
        <v>1703</v>
      </c>
      <c r="BW42" s="65">
        <v>4270</v>
      </c>
      <c r="BX42" s="65"/>
      <c r="BY42" s="65">
        <f>AQ42</f>
        <v>3999</v>
      </c>
      <c r="BZ42" s="74"/>
      <c r="CA42" s="74"/>
      <c r="CB42" s="74"/>
      <c r="CC42" s="74"/>
      <c r="CD42" s="74"/>
      <c r="CE42" s="74"/>
      <c r="CF42" s="74"/>
      <c r="CG42" s="75"/>
      <c r="CH42" s="76"/>
      <c r="CI42" s="77">
        <v>412.3</v>
      </c>
      <c r="CJ42" s="78">
        <v>3344</v>
      </c>
      <c r="CK42" s="78">
        <f t="shared" si="22"/>
        <v>1616</v>
      </c>
      <c r="CL42" s="79" t="str">
        <f t="shared" si="17"/>
        <v>0</v>
      </c>
      <c r="CM42" s="80">
        <f t="shared" si="23"/>
        <v>0</v>
      </c>
      <c r="CN42" s="79">
        <f t="shared" si="24"/>
        <v>1</v>
      </c>
      <c r="CO42" s="80">
        <f t="shared" si="25"/>
        <v>3380</v>
      </c>
      <c r="CP42" s="80">
        <f t="shared" si="11"/>
        <v>1</v>
      </c>
      <c r="CQ42" s="80">
        <f t="shared" si="12"/>
        <v>3380</v>
      </c>
      <c r="CR42" s="52">
        <v>52</v>
      </c>
      <c r="CS42" s="33">
        <v>1</v>
      </c>
      <c r="CT42" s="33">
        <v>0</v>
      </c>
      <c r="CU42" s="33">
        <v>0</v>
      </c>
      <c r="CV42" s="33">
        <v>0</v>
      </c>
      <c r="CW42" s="33">
        <v>2</v>
      </c>
      <c r="CX42" s="33">
        <v>0</v>
      </c>
      <c r="CY42" s="33">
        <v>0</v>
      </c>
      <c r="CZ42" s="33">
        <v>0</v>
      </c>
      <c r="DA42" s="33">
        <v>0</v>
      </c>
      <c r="DB42" s="33">
        <v>48</v>
      </c>
      <c r="DC42" s="33">
        <v>16</v>
      </c>
      <c r="DD42" s="33">
        <v>16</v>
      </c>
      <c r="DE42" s="33">
        <v>2</v>
      </c>
      <c r="DF42" s="33">
        <v>0</v>
      </c>
      <c r="DG42" s="33">
        <v>0</v>
      </c>
      <c r="DH42" s="82" t="str">
        <f t="shared" si="13"/>
        <v>0</v>
      </c>
      <c r="DI42" s="82" t="str">
        <f t="shared" si="14"/>
        <v>0</v>
      </c>
      <c r="DJ42" s="83">
        <f t="shared" si="5"/>
        <v>3.3109785076833855</v>
      </c>
    </row>
    <row r="43" spans="1:114" ht="15">
      <c r="A43" s="5" t="s">
        <v>107</v>
      </c>
      <c r="B43" s="60">
        <v>37</v>
      </c>
      <c r="C43" s="61" t="s">
        <v>105</v>
      </c>
      <c r="D43" s="62">
        <v>1956</v>
      </c>
      <c r="E43" s="63" t="s">
        <v>67</v>
      </c>
      <c r="F43" s="63" t="s">
        <v>29</v>
      </c>
      <c r="G43" s="64">
        <v>1</v>
      </c>
      <c r="H43" s="63">
        <v>5</v>
      </c>
      <c r="I43" s="63" t="s">
        <v>125</v>
      </c>
      <c r="J43" s="65">
        <v>12249</v>
      </c>
      <c r="K43" s="65">
        <v>740</v>
      </c>
      <c r="L43" s="65" t="s">
        <v>220</v>
      </c>
      <c r="M43" s="65">
        <v>1872</v>
      </c>
      <c r="N43" s="65"/>
      <c r="O43" s="65">
        <v>38</v>
      </c>
      <c r="P43" s="65">
        <v>94</v>
      </c>
      <c r="Q43" s="65">
        <v>40</v>
      </c>
      <c r="R43" s="66">
        <v>85</v>
      </c>
      <c r="S43" s="67">
        <v>2410.7</v>
      </c>
      <c r="T43" s="68">
        <v>1483.1</v>
      </c>
      <c r="U43" s="69">
        <v>34</v>
      </c>
      <c r="V43" s="70">
        <v>2174.4999999999995</v>
      </c>
      <c r="W43" s="70">
        <v>1340.9</v>
      </c>
      <c r="X43" s="71">
        <f t="shared" si="6"/>
        <v>4</v>
      </c>
      <c r="Y43" s="72">
        <f t="shared" si="7"/>
        <v>236.20000000000027</v>
      </c>
      <c r="Z43" s="72">
        <f t="shared" si="8"/>
        <v>142.19999999999982</v>
      </c>
      <c r="AA43" s="72"/>
      <c r="AB43" s="72"/>
      <c r="AC43" s="72"/>
      <c r="AD43" s="72">
        <f t="shared" si="9"/>
        <v>113</v>
      </c>
      <c r="AE43" s="68">
        <f t="shared" si="10"/>
        <v>0</v>
      </c>
      <c r="AF43" s="73"/>
      <c r="AG43" s="68">
        <v>0</v>
      </c>
      <c r="AH43" s="73">
        <v>113</v>
      </c>
      <c r="AI43" s="73"/>
      <c r="AJ43" s="73">
        <f t="shared" si="15"/>
        <v>2523.7</v>
      </c>
      <c r="AK43" s="65"/>
      <c r="AL43" s="65"/>
      <c r="AM43" s="65">
        <v>2</v>
      </c>
      <c r="AN43" s="65"/>
      <c r="AO43" s="65"/>
      <c r="AP43" s="65">
        <v>1</v>
      </c>
      <c r="AQ43" s="65">
        <v>2180</v>
      </c>
      <c r="AR43" s="65">
        <v>585</v>
      </c>
      <c r="AS43" s="65">
        <v>145</v>
      </c>
      <c r="AT43" s="65">
        <v>320</v>
      </c>
      <c r="AU43" s="65">
        <v>60</v>
      </c>
      <c r="AV43" s="65">
        <f>SUM(AW43+AX43)</f>
        <v>1986</v>
      </c>
      <c r="AW43" s="65"/>
      <c r="AX43" s="65">
        <v>1986</v>
      </c>
      <c r="AY43" s="65"/>
      <c r="AZ43" s="65">
        <v>50</v>
      </c>
      <c r="BA43" s="65">
        <v>738</v>
      </c>
      <c r="BB43" s="65">
        <v>738</v>
      </c>
      <c r="BC43" s="65">
        <v>10</v>
      </c>
      <c r="BD43" s="65">
        <v>4</v>
      </c>
      <c r="BE43" s="65">
        <v>103</v>
      </c>
      <c r="BF43" s="65">
        <v>379</v>
      </c>
      <c r="BG43" s="65"/>
      <c r="BH43" s="65">
        <v>2862</v>
      </c>
      <c r="BI43" s="65">
        <v>76</v>
      </c>
      <c r="BJ43" s="65"/>
      <c r="BK43" s="65">
        <f>G43</f>
        <v>1</v>
      </c>
      <c r="BL43" s="65">
        <f t="shared" si="26"/>
        <v>2410.7</v>
      </c>
      <c r="BM43" s="65">
        <f t="shared" si="26"/>
        <v>1483.1</v>
      </c>
      <c r="BN43" s="65"/>
      <c r="BO43" s="65"/>
      <c r="BP43" s="65"/>
      <c r="BQ43" s="65"/>
      <c r="BR43" s="65"/>
      <c r="BS43" s="65"/>
      <c r="BT43" s="65"/>
      <c r="BU43" s="65">
        <v>1</v>
      </c>
      <c r="BV43" s="65">
        <f>BB43</f>
        <v>738</v>
      </c>
      <c r="BW43" s="65">
        <v>2610</v>
      </c>
      <c r="BX43" s="65"/>
      <c r="BY43" s="65">
        <f>AQ43</f>
        <v>2180</v>
      </c>
      <c r="BZ43" s="74"/>
      <c r="CA43" s="74"/>
      <c r="CB43" s="74"/>
      <c r="CC43" s="74"/>
      <c r="CD43" s="74"/>
      <c r="CE43" s="74"/>
      <c r="CF43" s="74"/>
      <c r="CG43" s="75"/>
      <c r="CH43" s="76"/>
      <c r="CI43" s="77">
        <v>226.4</v>
      </c>
      <c r="CJ43" s="78">
        <v>2141</v>
      </c>
      <c r="CK43" s="78">
        <f t="shared" si="22"/>
        <v>1401</v>
      </c>
      <c r="CL43" s="79" t="str">
        <f t="shared" si="17"/>
        <v>0</v>
      </c>
      <c r="CM43" s="80">
        <f t="shared" si="23"/>
        <v>0</v>
      </c>
      <c r="CN43" s="79">
        <f t="shared" si="24"/>
        <v>1</v>
      </c>
      <c r="CO43" s="80">
        <f t="shared" si="25"/>
        <v>1986</v>
      </c>
      <c r="CP43" s="80">
        <f t="shared" si="11"/>
        <v>1</v>
      </c>
      <c r="CQ43" s="80">
        <f t="shared" si="12"/>
        <v>1986</v>
      </c>
      <c r="CR43" s="52">
        <v>42</v>
      </c>
      <c r="CS43" s="33">
        <v>1</v>
      </c>
      <c r="CT43" s="33">
        <v>0</v>
      </c>
      <c r="CU43" s="33">
        <v>0</v>
      </c>
      <c r="CV43" s="33">
        <v>0</v>
      </c>
      <c r="CW43" s="33">
        <v>1</v>
      </c>
      <c r="CX43" s="33">
        <v>0</v>
      </c>
      <c r="CY43" s="33">
        <v>0</v>
      </c>
      <c r="CZ43" s="33">
        <v>0</v>
      </c>
      <c r="DA43" s="33">
        <v>0</v>
      </c>
      <c r="DB43" s="33">
        <v>36</v>
      </c>
      <c r="DC43" s="33">
        <v>12</v>
      </c>
      <c r="DD43" s="33">
        <v>12</v>
      </c>
      <c r="DE43" s="33">
        <v>4</v>
      </c>
      <c r="DF43" s="33">
        <v>0</v>
      </c>
      <c r="DG43" s="33">
        <v>0</v>
      </c>
      <c r="DH43" s="82" t="str">
        <f t="shared" si="13"/>
        <v>0</v>
      </c>
      <c r="DI43" s="82" t="str">
        <f t="shared" si="14"/>
        <v>0</v>
      </c>
      <c r="DJ43" s="83">
        <f t="shared" si="5"/>
        <v>9.797983988053275</v>
      </c>
    </row>
    <row r="44" spans="1:114" ht="15">
      <c r="A44" s="5" t="s">
        <v>107</v>
      </c>
      <c r="B44" s="60">
        <v>38</v>
      </c>
      <c r="C44" s="61" t="s">
        <v>69</v>
      </c>
      <c r="D44" s="62">
        <v>1955</v>
      </c>
      <c r="E44" s="63" t="s">
        <v>67</v>
      </c>
      <c r="F44" s="63" t="s">
        <v>29</v>
      </c>
      <c r="G44" s="64">
        <v>1</v>
      </c>
      <c r="H44" s="63">
        <v>4</v>
      </c>
      <c r="I44" s="63" t="s">
        <v>125</v>
      </c>
      <c r="J44" s="65">
        <v>22319</v>
      </c>
      <c r="K44" s="65">
        <v>1743</v>
      </c>
      <c r="L44" s="65" t="s">
        <v>221</v>
      </c>
      <c r="M44" s="65">
        <v>2090</v>
      </c>
      <c r="N44" s="65"/>
      <c r="O44" s="65">
        <v>52</v>
      </c>
      <c r="P44" s="65">
        <v>145</v>
      </c>
      <c r="Q44" s="65">
        <v>55</v>
      </c>
      <c r="R44" s="66">
        <v>116</v>
      </c>
      <c r="S44" s="67">
        <v>4028.44</v>
      </c>
      <c r="T44" s="68">
        <v>2531.62</v>
      </c>
      <c r="U44" s="69">
        <v>46</v>
      </c>
      <c r="V44" s="70">
        <v>3513.4600000000005</v>
      </c>
      <c r="W44" s="70">
        <v>2203.02</v>
      </c>
      <c r="X44" s="71">
        <f t="shared" si="6"/>
        <v>6</v>
      </c>
      <c r="Y44" s="72">
        <f t="shared" si="7"/>
        <v>514.9799999999996</v>
      </c>
      <c r="Z44" s="72">
        <f t="shared" si="8"/>
        <v>328.5999999999999</v>
      </c>
      <c r="AA44" s="72"/>
      <c r="AB44" s="72"/>
      <c r="AC44" s="72"/>
      <c r="AD44" s="72">
        <f t="shared" si="9"/>
        <v>883</v>
      </c>
      <c r="AE44" s="68">
        <f t="shared" si="10"/>
        <v>883</v>
      </c>
      <c r="AF44" s="73"/>
      <c r="AG44" s="68">
        <v>883</v>
      </c>
      <c r="AH44" s="73"/>
      <c r="AI44" s="73"/>
      <c r="AJ44" s="73">
        <f t="shared" si="15"/>
        <v>4911.4400000000005</v>
      </c>
      <c r="AK44" s="65"/>
      <c r="AL44" s="65"/>
      <c r="AM44" s="65">
        <v>4</v>
      </c>
      <c r="AN44" s="65"/>
      <c r="AO44" s="65"/>
      <c r="AP44" s="65">
        <v>1</v>
      </c>
      <c r="AQ44" s="65">
        <v>3900</v>
      </c>
      <c r="AR44" s="65">
        <v>585</v>
      </c>
      <c r="AS44" s="65">
        <v>725</v>
      </c>
      <c r="AT44" s="65">
        <v>380</v>
      </c>
      <c r="AU44" s="65">
        <v>120</v>
      </c>
      <c r="AV44" s="65">
        <f>SUM(AW44+AX44)</f>
        <v>3380</v>
      </c>
      <c r="AW44" s="65"/>
      <c r="AX44" s="65">
        <v>3380</v>
      </c>
      <c r="AY44" s="65"/>
      <c r="AZ44" s="65">
        <v>107</v>
      </c>
      <c r="BA44" s="65">
        <v>1691</v>
      </c>
      <c r="BB44" s="65">
        <v>1691</v>
      </c>
      <c r="BC44" s="65">
        <v>20</v>
      </c>
      <c r="BD44" s="65">
        <v>8</v>
      </c>
      <c r="BE44" s="65">
        <v>191</v>
      </c>
      <c r="BF44" s="65">
        <v>497</v>
      </c>
      <c r="BG44" s="65"/>
      <c r="BH44" s="65">
        <v>2616</v>
      </c>
      <c r="BI44" s="65">
        <v>76</v>
      </c>
      <c r="BJ44" s="65"/>
      <c r="BK44" s="65">
        <f>G44</f>
        <v>1</v>
      </c>
      <c r="BL44" s="65">
        <f t="shared" si="26"/>
        <v>4028.44</v>
      </c>
      <c r="BM44" s="65">
        <f t="shared" si="26"/>
        <v>2531.62</v>
      </c>
      <c r="BN44" s="65"/>
      <c r="BO44" s="65"/>
      <c r="BP44" s="65"/>
      <c r="BQ44" s="65"/>
      <c r="BR44" s="65"/>
      <c r="BS44" s="65"/>
      <c r="BT44" s="65"/>
      <c r="BU44" s="65">
        <v>6</v>
      </c>
      <c r="BV44" s="65">
        <f>BB44</f>
        <v>1691</v>
      </c>
      <c r="BW44" s="65">
        <v>4190</v>
      </c>
      <c r="BX44" s="65"/>
      <c r="BY44" s="65">
        <f>AQ44</f>
        <v>3900</v>
      </c>
      <c r="BZ44" s="74"/>
      <c r="CA44" s="74"/>
      <c r="CB44" s="74"/>
      <c r="CC44" s="74"/>
      <c r="CD44" s="74"/>
      <c r="CE44" s="74"/>
      <c r="CF44" s="74"/>
      <c r="CG44" s="75"/>
      <c r="CH44" s="76"/>
      <c r="CI44" s="77">
        <v>450.86</v>
      </c>
      <c r="CJ44" s="78">
        <v>3565</v>
      </c>
      <c r="CK44" s="78">
        <f t="shared" si="22"/>
        <v>1822</v>
      </c>
      <c r="CL44" s="79" t="str">
        <f t="shared" si="17"/>
        <v>0</v>
      </c>
      <c r="CM44" s="80">
        <f t="shared" si="23"/>
        <v>0</v>
      </c>
      <c r="CN44" s="79">
        <f t="shared" si="24"/>
        <v>1</v>
      </c>
      <c r="CO44" s="80">
        <f t="shared" si="25"/>
        <v>3380</v>
      </c>
      <c r="CP44" s="80">
        <f t="shared" si="11"/>
        <v>1</v>
      </c>
      <c r="CQ44" s="80">
        <f t="shared" si="12"/>
        <v>3380</v>
      </c>
      <c r="CR44" s="52">
        <v>54</v>
      </c>
      <c r="CS44" s="33">
        <v>1</v>
      </c>
      <c r="CT44" s="33">
        <v>0</v>
      </c>
      <c r="CU44" s="33">
        <v>0</v>
      </c>
      <c r="CV44" s="33">
        <v>0</v>
      </c>
      <c r="CW44" s="33">
        <v>2</v>
      </c>
      <c r="CX44" s="33">
        <v>0</v>
      </c>
      <c r="CY44" s="33">
        <v>0</v>
      </c>
      <c r="CZ44" s="33">
        <v>0</v>
      </c>
      <c r="DA44" s="33">
        <v>0</v>
      </c>
      <c r="DB44" s="33">
        <v>48</v>
      </c>
      <c r="DC44" s="33">
        <v>12</v>
      </c>
      <c r="DD44" s="33">
        <v>12</v>
      </c>
      <c r="DE44" s="33">
        <v>4</v>
      </c>
      <c r="DF44" s="33">
        <v>1</v>
      </c>
      <c r="DG44" s="33">
        <v>1</v>
      </c>
      <c r="DH44" s="82" t="str">
        <f t="shared" si="13"/>
        <v>0</v>
      </c>
      <c r="DI44" s="82" t="str">
        <f t="shared" si="14"/>
        <v>0</v>
      </c>
      <c r="DJ44" s="83">
        <f t="shared" si="5"/>
        <v>12.78360854325743</v>
      </c>
    </row>
    <row r="45" spans="1:114" s="27" customFormat="1" ht="15">
      <c r="A45" s="26" t="s">
        <v>108</v>
      </c>
      <c r="B45" s="60">
        <v>39</v>
      </c>
      <c r="C45" s="95" t="s">
        <v>74</v>
      </c>
      <c r="D45" s="96">
        <v>1978</v>
      </c>
      <c r="E45" s="97" t="s">
        <v>136</v>
      </c>
      <c r="F45" s="98" t="s">
        <v>133</v>
      </c>
      <c r="G45" s="82">
        <v>1</v>
      </c>
      <c r="H45" s="97">
        <v>9</v>
      </c>
      <c r="I45" s="97" t="s">
        <v>124</v>
      </c>
      <c r="J45" s="71">
        <v>28812</v>
      </c>
      <c r="K45" s="71">
        <v>1196</v>
      </c>
      <c r="L45" s="71" t="s">
        <v>222</v>
      </c>
      <c r="M45" s="71">
        <v>1425</v>
      </c>
      <c r="N45" s="71"/>
      <c r="O45" s="71">
        <f>317+2</f>
        <v>319</v>
      </c>
      <c r="P45" s="71">
        <f>317+2</f>
        <v>319</v>
      </c>
      <c r="Q45" s="71">
        <v>303</v>
      </c>
      <c r="R45" s="71">
        <v>432</v>
      </c>
      <c r="S45" s="99">
        <f>6098.55+38.1</f>
        <v>6136.650000000001</v>
      </c>
      <c r="T45" s="100">
        <v>4417.18</v>
      </c>
      <c r="U45" s="69">
        <v>193</v>
      </c>
      <c r="V45" s="70">
        <v>3768.900000000001</v>
      </c>
      <c r="W45" s="70">
        <v>2725.020000000001</v>
      </c>
      <c r="X45" s="71">
        <f t="shared" si="6"/>
        <v>126</v>
      </c>
      <c r="Y45" s="72">
        <f t="shared" si="7"/>
        <v>2367.7499999999995</v>
      </c>
      <c r="Z45" s="72">
        <f t="shared" si="8"/>
        <v>1692.1599999999994</v>
      </c>
      <c r="AA45" s="72"/>
      <c r="AB45" s="72"/>
      <c r="AC45" s="72"/>
      <c r="AD45" s="72">
        <f t="shared" si="9"/>
        <v>214.09</v>
      </c>
      <c r="AE45" s="100">
        <f t="shared" si="10"/>
        <v>214.09</v>
      </c>
      <c r="AF45" s="72"/>
      <c r="AG45" s="100">
        <f>252.19-38.1</f>
        <v>214.09</v>
      </c>
      <c r="AH45" s="72"/>
      <c r="AI45" s="72"/>
      <c r="AJ45" s="89">
        <f t="shared" si="15"/>
        <v>6350.740000000001</v>
      </c>
      <c r="AK45" s="71"/>
      <c r="AL45" s="71">
        <v>2</v>
      </c>
      <c r="AM45" s="71">
        <v>2</v>
      </c>
      <c r="AN45" s="71">
        <v>1</v>
      </c>
      <c r="AO45" s="71"/>
      <c r="AP45" s="71">
        <v>1</v>
      </c>
      <c r="AQ45" s="71">
        <v>4526</v>
      </c>
      <c r="AR45" s="71"/>
      <c r="AS45" s="71">
        <v>180</v>
      </c>
      <c r="AT45" s="71">
        <v>256</v>
      </c>
      <c r="AU45" s="71">
        <v>76</v>
      </c>
      <c r="AV45" s="71">
        <v>7841</v>
      </c>
      <c r="AW45" s="71"/>
      <c r="AX45" s="71">
        <v>7841</v>
      </c>
      <c r="AY45" s="71">
        <v>3264</v>
      </c>
      <c r="AZ45" s="71">
        <v>228</v>
      </c>
      <c r="BA45" s="71">
        <v>1165</v>
      </c>
      <c r="BB45" s="71">
        <v>1165</v>
      </c>
      <c r="BC45" s="71">
        <v>34</v>
      </c>
      <c r="BD45" s="71">
        <v>67</v>
      </c>
      <c r="BE45" s="71">
        <v>324</v>
      </c>
      <c r="BF45" s="71">
        <v>972</v>
      </c>
      <c r="BG45" s="71">
        <v>1</v>
      </c>
      <c r="BH45" s="71">
        <v>17000</v>
      </c>
      <c r="BI45" s="71">
        <v>710</v>
      </c>
      <c r="BJ45" s="71">
        <v>200</v>
      </c>
      <c r="BK45" s="71"/>
      <c r="BL45" s="71"/>
      <c r="BM45" s="71"/>
      <c r="BN45" s="65">
        <f aca="true" t="shared" si="27" ref="BN45:BN53">G45</f>
        <v>1</v>
      </c>
      <c r="BO45" s="65">
        <f aca="true" t="shared" si="28" ref="BO45:BO53">S45</f>
        <v>6136.650000000001</v>
      </c>
      <c r="BP45" s="65">
        <f aca="true" t="shared" si="29" ref="BP45:BP53">T45</f>
        <v>4417.18</v>
      </c>
      <c r="BQ45" s="65"/>
      <c r="BR45" s="65"/>
      <c r="BS45" s="65"/>
      <c r="BT45" s="71"/>
      <c r="BU45" s="71"/>
      <c r="BV45" s="71"/>
      <c r="BW45" s="71"/>
      <c r="BX45" s="71"/>
      <c r="BY45" s="65"/>
      <c r="BZ45" s="101"/>
      <c r="CA45" s="101"/>
      <c r="CB45" s="101"/>
      <c r="CC45" s="101"/>
      <c r="CD45" s="101"/>
      <c r="CE45" s="101"/>
      <c r="CF45" s="101"/>
      <c r="CG45" s="102"/>
      <c r="CH45" s="102"/>
      <c r="CI45" s="77">
        <v>1841.71</v>
      </c>
      <c r="CJ45" s="78">
        <v>3090</v>
      </c>
      <c r="CK45" s="78">
        <f t="shared" si="22"/>
        <v>1894</v>
      </c>
      <c r="CL45" s="79" t="str">
        <f t="shared" si="17"/>
        <v>0</v>
      </c>
      <c r="CM45" s="80">
        <f t="shared" si="23"/>
        <v>0</v>
      </c>
      <c r="CN45" s="79">
        <f t="shared" si="24"/>
        <v>1</v>
      </c>
      <c r="CO45" s="80">
        <f t="shared" si="25"/>
        <v>7841</v>
      </c>
      <c r="CP45" s="80">
        <f t="shared" si="11"/>
        <v>1</v>
      </c>
      <c r="CQ45" s="80">
        <f t="shared" si="12"/>
        <v>7841</v>
      </c>
      <c r="CR45" s="81">
        <f>65+6</f>
        <v>71</v>
      </c>
      <c r="CS45" s="33">
        <v>1</v>
      </c>
      <c r="CT45" s="33">
        <v>0</v>
      </c>
      <c r="CU45" s="33">
        <v>0</v>
      </c>
      <c r="CV45" s="33">
        <v>1</v>
      </c>
      <c r="CW45" s="33">
        <v>2</v>
      </c>
      <c r="CX45" s="33">
        <v>0</v>
      </c>
      <c r="CY45" s="33">
        <v>0</v>
      </c>
      <c r="CZ45" s="33">
        <v>1</v>
      </c>
      <c r="DA45" s="33">
        <v>0</v>
      </c>
      <c r="DB45" s="33">
        <v>126</v>
      </c>
      <c r="DC45" s="33">
        <v>71</v>
      </c>
      <c r="DD45" s="33">
        <v>71</v>
      </c>
      <c r="DE45" s="33">
        <v>26</v>
      </c>
      <c r="DF45" s="33">
        <v>13</v>
      </c>
      <c r="DG45" s="33">
        <v>13</v>
      </c>
      <c r="DH45" s="82" t="str">
        <f t="shared" si="13"/>
        <v>0</v>
      </c>
      <c r="DI45" s="82" t="str">
        <f t="shared" si="14"/>
        <v>0</v>
      </c>
      <c r="DJ45" s="83">
        <f t="shared" si="5"/>
        <v>38.58375498032313</v>
      </c>
    </row>
    <row r="46" spans="1:114" s="28" customFormat="1" ht="15">
      <c r="A46" s="26" t="s">
        <v>108</v>
      </c>
      <c r="B46" s="60">
        <v>40</v>
      </c>
      <c r="C46" s="95" t="s">
        <v>75</v>
      </c>
      <c r="D46" s="96">
        <v>1975</v>
      </c>
      <c r="E46" s="97" t="s">
        <v>136</v>
      </c>
      <c r="F46" s="98" t="s">
        <v>133</v>
      </c>
      <c r="G46" s="82">
        <v>1</v>
      </c>
      <c r="H46" s="97">
        <v>9</v>
      </c>
      <c r="I46" s="97" t="s">
        <v>124</v>
      </c>
      <c r="J46" s="71">
        <v>28825</v>
      </c>
      <c r="K46" s="71">
        <v>1202</v>
      </c>
      <c r="L46" s="71" t="s">
        <v>223</v>
      </c>
      <c r="M46" s="71">
        <v>1396</v>
      </c>
      <c r="N46" s="71"/>
      <c r="O46" s="71">
        <f>343+2</f>
        <v>345</v>
      </c>
      <c r="P46" s="71">
        <f>343+2</f>
        <v>345</v>
      </c>
      <c r="Q46" s="71">
        <v>324</v>
      </c>
      <c r="R46" s="71">
        <v>458</v>
      </c>
      <c r="S46" s="99">
        <f>6487.1+37.6</f>
        <v>6524.700000000001</v>
      </c>
      <c r="T46" s="100">
        <v>4710.599999999999</v>
      </c>
      <c r="U46" s="103">
        <v>138</v>
      </c>
      <c r="V46" s="104">
        <v>2678.200000000002</v>
      </c>
      <c r="W46" s="104">
        <v>1948.2000000000005</v>
      </c>
      <c r="X46" s="71">
        <f t="shared" si="6"/>
        <v>207</v>
      </c>
      <c r="Y46" s="72">
        <f t="shared" si="7"/>
        <v>3846.4999999999986</v>
      </c>
      <c r="Z46" s="72">
        <f t="shared" si="8"/>
        <v>2762.3999999999987</v>
      </c>
      <c r="AA46" s="72"/>
      <c r="AB46" s="72"/>
      <c r="AC46" s="72"/>
      <c r="AD46" s="72">
        <f t="shared" si="9"/>
        <v>59.49999999999999</v>
      </c>
      <c r="AE46" s="100">
        <f t="shared" si="10"/>
        <v>59.49999999999999</v>
      </c>
      <c r="AF46" s="72"/>
      <c r="AG46" s="100">
        <f>113.78-16.68-37.6</f>
        <v>59.49999999999999</v>
      </c>
      <c r="AH46" s="72"/>
      <c r="AI46" s="72"/>
      <c r="AJ46" s="89">
        <f t="shared" si="15"/>
        <v>6584.200000000001</v>
      </c>
      <c r="AK46" s="71"/>
      <c r="AL46" s="71">
        <v>2</v>
      </c>
      <c r="AM46" s="71">
        <v>2</v>
      </c>
      <c r="AN46" s="71">
        <v>1</v>
      </c>
      <c r="AO46" s="71"/>
      <c r="AP46" s="71">
        <v>1</v>
      </c>
      <c r="AQ46" s="71">
        <v>4526</v>
      </c>
      <c r="AR46" s="71"/>
      <c r="AS46" s="71">
        <v>390</v>
      </c>
      <c r="AT46" s="71">
        <v>274</v>
      </c>
      <c r="AU46" s="71">
        <v>76</v>
      </c>
      <c r="AV46" s="71">
        <v>7263</v>
      </c>
      <c r="AW46" s="71"/>
      <c r="AX46" s="71">
        <v>7263</v>
      </c>
      <c r="AY46" s="71">
        <v>3265</v>
      </c>
      <c r="AZ46" s="71">
        <v>228</v>
      </c>
      <c r="BA46" s="71">
        <v>1164</v>
      </c>
      <c r="BB46" s="71">
        <v>1164</v>
      </c>
      <c r="BC46" s="71">
        <v>34</v>
      </c>
      <c r="BD46" s="71">
        <v>54</v>
      </c>
      <c r="BE46" s="71">
        <v>378</v>
      </c>
      <c r="BF46" s="71">
        <v>1097</v>
      </c>
      <c r="BG46" s="71">
        <v>1</v>
      </c>
      <c r="BH46" s="71">
        <v>17000</v>
      </c>
      <c r="BI46" s="71">
        <v>710</v>
      </c>
      <c r="BJ46" s="71">
        <v>200</v>
      </c>
      <c r="BK46" s="71"/>
      <c r="BL46" s="71"/>
      <c r="BM46" s="71"/>
      <c r="BN46" s="65">
        <f t="shared" si="27"/>
        <v>1</v>
      </c>
      <c r="BO46" s="65">
        <f t="shared" si="28"/>
        <v>6524.700000000001</v>
      </c>
      <c r="BP46" s="65">
        <f t="shared" si="29"/>
        <v>4710.599999999999</v>
      </c>
      <c r="BQ46" s="65"/>
      <c r="BR46" s="65"/>
      <c r="BS46" s="65"/>
      <c r="BT46" s="71"/>
      <c r="BU46" s="71"/>
      <c r="BV46" s="71"/>
      <c r="BW46" s="71"/>
      <c r="BX46" s="71"/>
      <c r="BY46" s="65"/>
      <c r="BZ46" s="101"/>
      <c r="CA46" s="101"/>
      <c r="CB46" s="101"/>
      <c r="CC46" s="101"/>
      <c r="CD46" s="101"/>
      <c r="CE46" s="101"/>
      <c r="CF46" s="101"/>
      <c r="CG46" s="102"/>
      <c r="CH46" s="102"/>
      <c r="CI46" s="77">
        <v>1816.4</v>
      </c>
      <c r="CJ46" s="78">
        <v>3170</v>
      </c>
      <c r="CK46" s="78">
        <f t="shared" si="22"/>
        <v>1968</v>
      </c>
      <c r="CL46" s="79" t="str">
        <f t="shared" si="17"/>
        <v>0</v>
      </c>
      <c r="CM46" s="80">
        <f t="shared" si="23"/>
        <v>0</v>
      </c>
      <c r="CN46" s="79">
        <f t="shared" si="24"/>
        <v>1</v>
      </c>
      <c r="CO46" s="80">
        <f t="shared" si="25"/>
        <v>7263</v>
      </c>
      <c r="CP46" s="80">
        <f t="shared" si="11"/>
        <v>1</v>
      </c>
      <c r="CQ46" s="80">
        <f t="shared" si="12"/>
        <v>7263</v>
      </c>
      <c r="CR46" s="52">
        <f>68+3</f>
        <v>71</v>
      </c>
      <c r="CS46" s="33">
        <v>1</v>
      </c>
      <c r="CT46" s="33">
        <v>0</v>
      </c>
      <c r="CU46" s="33">
        <v>0</v>
      </c>
      <c r="CV46" s="33">
        <v>1</v>
      </c>
      <c r="CW46" s="33">
        <v>2</v>
      </c>
      <c r="CX46" s="33">
        <v>0</v>
      </c>
      <c r="CY46" s="33">
        <v>0</v>
      </c>
      <c r="CZ46" s="33">
        <v>1</v>
      </c>
      <c r="DA46" s="33">
        <v>0</v>
      </c>
      <c r="DB46" s="33">
        <v>134</v>
      </c>
      <c r="DC46" s="33">
        <v>45</v>
      </c>
      <c r="DD46" s="33">
        <v>45</v>
      </c>
      <c r="DE46" s="33">
        <v>56</v>
      </c>
      <c r="DF46" s="33">
        <v>14</v>
      </c>
      <c r="DG46" s="33">
        <v>14</v>
      </c>
      <c r="DH46" s="82">
        <f t="shared" si="13"/>
        <v>1</v>
      </c>
      <c r="DI46" s="82">
        <f t="shared" si="14"/>
        <v>6524.700000000001</v>
      </c>
      <c r="DJ46" s="83">
        <f t="shared" si="5"/>
        <v>58.952902049136334</v>
      </c>
    </row>
    <row r="47" spans="1:114" s="28" customFormat="1" ht="15">
      <c r="A47" s="26" t="s">
        <v>108</v>
      </c>
      <c r="B47" s="60">
        <v>41</v>
      </c>
      <c r="C47" s="95" t="s">
        <v>70</v>
      </c>
      <c r="D47" s="96">
        <v>1977</v>
      </c>
      <c r="E47" s="97" t="s">
        <v>136</v>
      </c>
      <c r="F47" s="98" t="s">
        <v>133</v>
      </c>
      <c r="G47" s="82">
        <v>1</v>
      </c>
      <c r="H47" s="97">
        <v>9</v>
      </c>
      <c r="I47" s="97" t="s">
        <v>124</v>
      </c>
      <c r="J47" s="71">
        <v>28978</v>
      </c>
      <c r="K47" s="71">
        <v>1220</v>
      </c>
      <c r="L47" s="71" t="s">
        <v>224</v>
      </c>
      <c r="M47" s="71">
        <v>1419</v>
      </c>
      <c r="N47" s="71"/>
      <c r="O47" s="71">
        <f>347+1</f>
        <v>348</v>
      </c>
      <c r="P47" s="71">
        <f>347+1</f>
        <v>348</v>
      </c>
      <c r="Q47" s="71">
        <v>305</v>
      </c>
      <c r="R47" s="66">
        <v>445</v>
      </c>
      <c r="S47" s="99">
        <f>6624.87+16.38</f>
        <v>6641.25</v>
      </c>
      <c r="T47" s="100">
        <v>4809.030000000001</v>
      </c>
      <c r="U47" s="103">
        <v>197</v>
      </c>
      <c r="V47" s="104">
        <v>3819.5599999999995</v>
      </c>
      <c r="W47" s="104">
        <v>2758.4400000000005</v>
      </c>
      <c r="X47" s="71">
        <f t="shared" si="6"/>
        <v>151</v>
      </c>
      <c r="Y47" s="72">
        <f t="shared" si="7"/>
        <v>2821.6900000000005</v>
      </c>
      <c r="Z47" s="72">
        <f t="shared" si="8"/>
        <v>2050.59</v>
      </c>
      <c r="AA47" s="72"/>
      <c r="AB47" s="72"/>
      <c r="AC47" s="72"/>
      <c r="AD47" s="72">
        <f t="shared" si="9"/>
        <v>16.650000000000002</v>
      </c>
      <c r="AE47" s="100">
        <f t="shared" si="10"/>
        <v>16.650000000000002</v>
      </c>
      <c r="AF47" s="72"/>
      <c r="AG47" s="100">
        <f>33.03-16.38</f>
        <v>16.650000000000002</v>
      </c>
      <c r="AH47" s="72"/>
      <c r="AI47" s="72"/>
      <c r="AJ47" s="73">
        <f t="shared" si="15"/>
        <v>6657.9</v>
      </c>
      <c r="AK47" s="71"/>
      <c r="AL47" s="71">
        <v>2</v>
      </c>
      <c r="AM47" s="71">
        <v>2</v>
      </c>
      <c r="AN47" s="71">
        <v>1</v>
      </c>
      <c r="AO47" s="71"/>
      <c r="AP47" s="71">
        <v>1</v>
      </c>
      <c r="AQ47" s="71">
        <v>4533</v>
      </c>
      <c r="AR47" s="71"/>
      <c r="AS47" s="71">
        <v>270</v>
      </c>
      <c r="AT47" s="71">
        <v>275</v>
      </c>
      <c r="AU47" s="71">
        <v>76</v>
      </c>
      <c r="AV47" s="71">
        <v>7443</v>
      </c>
      <c r="AW47" s="71"/>
      <c r="AX47" s="71">
        <v>7443</v>
      </c>
      <c r="AY47" s="71">
        <v>3268</v>
      </c>
      <c r="AZ47" s="71">
        <v>228</v>
      </c>
      <c r="BA47" s="71">
        <v>1172</v>
      </c>
      <c r="BB47" s="71">
        <v>1172</v>
      </c>
      <c r="BC47" s="71">
        <v>34</v>
      </c>
      <c r="BD47" s="71">
        <v>66</v>
      </c>
      <c r="BE47" s="71">
        <v>351</v>
      </c>
      <c r="BF47" s="71">
        <v>1053</v>
      </c>
      <c r="BG47" s="71">
        <v>1</v>
      </c>
      <c r="BH47" s="71">
        <v>17000</v>
      </c>
      <c r="BI47" s="71">
        <v>710</v>
      </c>
      <c r="BJ47" s="71">
        <v>200</v>
      </c>
      <c r="BK47" s="71"/>
      <c r="BL47" s="71"/>
      <c r="BM47" s="71"/>
      <c r="BN47" s="65">
        <f t="shared" si="27"/>
        <v>1</v>
      </c>
      <c r="BO47" s="65">
        <f t="shared" si="28"/>
        <v>6641.25</v>
      </c>
      <c r="BP47" s="65">
        <f t="shared" si="29"/>
        <v>4809.030000000001</v>
      </c>
      <c r="BQ47" s="65"/>
      <c r="BR47" s="65"/>
      <c r="BS47" s="65"/>
      <c r="BT47" s="71"/>
      <c r="BU47" s="71"/>
      <c r="BV47" s="71"/>
      <c r="BW47" s="71"/>
      <c r="BX47" s="71"/>
      <c r="BY47" s="65"/>
      <c r="BZ47" s="101"/>
      <c r="CA47" s="101"/>
      <c r="CB47" s="101"/>
      <c r="CC47" s="101"/>
      <c r="CD47" s="101"/>
      <c r="CE47" s="101"/>
      <c r="CF47" s="101"/>
      <c r="CG47" s="102"/>
      <c r="CH47" s="102"/>
      <c r="CI47" s="77">
        <v>1865.54</v>
      </c>
      <c r="CJ47" s="78">
        <v>2860</v>
      </c>
      <c r="CK47" s="78">
        <f t="shared" si="22"/>
        <v>1640</v>
      </c>
      <c r="CL47" s="79" t="str">
        <f t="shared" si="17"/>
        <v>0</v>
      </c>
      <c r="CM47" s="80">
        <f t="shared" si="23"/>
        <v>0</v>
      </c>
      <c r="CN47" s="79">
        <f t="shared" si="24"/>
        <v>1</v>
      </c>
      <c r="CO47" s="80">
        <f t="shared" si="25"/>
        <v>7443</v>
      </c>
      <c r="CP47" s="80">
        <f t="shared" si="11"/>
        <v>1</v>
      </c>
      <c r="CQ47" s="80">
        <f t="shared" si="12"/>
        <v>7443</v>
      </c>
      <c r="CR47" s="52">
        <f>60+11</f>
        <v>71</v>
      </c>
      <c r="CS47" s="33">
        <v>1</v>
      </c>
      <c r="CT47" s="33">
        <v>0</v>
      </c>
      <c r="CU47" s="33">
        <v>0</v>
      </c>
      <c r="CV47" s="33">
        <v>1</v>
      </c>
      <c r="CW47" s="33">
        <v>2</v>
      </c>
      <c r="CX47" s="33">
        <v>0</v>
      </c>
      <c r="CY47" s="33">
        <v>0</v>
      </c>
      <c r="CZ47" s="33">
        <v>1</v>
      </c>
      <c r="DA47" s="33">
        <v>0</v>
      </c>
      <c r="DB47" s="33">
        <v>140</v>
      </c>
      <c r="DC47" s="33">
        <v>59</v>
      </c>
      <c r="DD47" s="33">
        <v>59</v>
      </c>
      <c r="DE47" s="33">
        <v>51</v>
      </c>
      <c r="DF47" s="33">
        <v>18</v>
      </c>
      <c r="DG47" s="33">
        <v>18</v>
      </c>
      <c r="DH47" s="82" t="str">
        <f t="shared" si="13"/>
        <v>0</v>
      </c>
      <c r="DI47" s="82" t="str">
        <f t="shared" si="14"/>
        <v>0</v>
      </c>
      <c r="DJ47" s="83">
        <f t="shared" si="5"/>
        <v>42.487332956898186</v>
      </c>
    </row>
    <row r="48" spans="1:114" s="28" customFormat="1" ht="15">
      <c r="A48" s="26" t="s">
        <v>108</v>
      </c>
      <c r="B48" s="60">
        <v>42</v>
      </c>
      <c r="C48" s="95" t="s">
        <v>71</v>
      </c>
      <c r="D48" s="96">
        <v>1976</v>
      </c>
      <c r="E48" s="97" t="s">
        <v>136</v>
      </c>
      <c r="F48" s="98" t="s">
        <v>133</v>
      </c>
      <c r="G48" s="82">
        <v>1</v>
      </c>
      <c r="H48" s="97">
        <v>9</v>
      </c>
      <c r="I48" s="97" t="s">
        <v>124</v>
      </c>
      <c r="J48" s="71">
        <v>28978</v>
      </c>
      <c r="K48" s="71">
        <v>1201</v>
      </c>
      <c r="L48" s="71" t="s">
        <v>225</v>
      </c>
      <c r="M48" s="71">
        <v>1419</v>
      </c>
      <c r="N48" s="71"/>
      <c r="O48" s="71">
        <v>345</v>
      </c>
      <c r="P48" s="71">
        <v>345</v>
      </c>
      <c r="Q48" s="71">
        <v>299</v>
      </c>
      <c r="R48" s="66">
        <v>420</v>
      </c>
      <c r="S48" s="99">
        <v>6636.4</v>
      </c>
      <c r="T48" s="100">
        <v>4675.6</v>
      </c>
      <c r="U48" s="69">
        <v>187</v>
      </c>
      <c r="V48" s="104">
        <v>3658.5999999999985</v>
      </c>
      <c r="W48" s="104">
        <v>2589.1</v>
      </c>
      <c r="X48" s="71">
        <f t="shared" si="6"/>
        <v>158</v>
      </c>
      <c r="Y48" s="72">
        <f t="shared" si="7"/>
        <v>2977.800000000001</v>
      </c>
      <c r="Z48" s="72">
        <f t="shared" si="8"/>
        <v>2086.5000000000005</v>
      </c>
      <c r="AA48" s="72"/>
      <c r="AB48" s="72"/>
      <c r="AC48" s="72"/>
      <c r="AD48" s="72">
        <f t="shared" si="9"/>
        <v>55.1</v>
      </c>
      <c r="AE48" s="100">
        <f t="shared" si="10"/>
        <v>55.1</v>
      </c>
      <c r="AF48" s="72"/>
      <c r="AG48" s="100">
        <v>55.1</v>
      </c>
      <c r="AH48" s="72"/>
      <c r="AI48" s="72"/>
      <c r="AJ48" s="73">
        <f t="shared" si="15"/>
        <v>6691.5</v>
      </c>
      <c r="AK48" s="71"/>
      <c r="AL48" s="71">
        <v>2</v>
      </c>
      <c r="AM48" s="71">
        <v>2</v>
      </c>
      <c r="AN48" s="71">
        <v>1</v>
      </c>
      <c r="AO48" s="71"/>
      <c r="AP48" s="71">
        <v>1</v>
      </c>
      <c r="AQ48" s="71">
        <v>4534</v>
      </c>
      <c r="AR48" s="71"/>
      <c r="AS48" s="71">
        <v>480</v>
      </c>
      <c r="AT48" s="71">
        <v>220</v>
      </c>
      <c r="AU48" s="71">
        <v>76</v>
      </c>
      <c r="AV48" s="71">
        <v>7423</v>
      </c>
      <c r="AW48" s="71"/>
      <c r="AX48" s="71">
        <v>7423</v>
      </c>
      <c r="AY48" s="71">
        <v>3268</v>
      </c>
      <c r="AZ48" s="71">
        <v>232</v>
      </c>
      <c r="BA48" s="71">
        <v>1173</v>
      </c>
      <c r="BB48" s="71">
        <v>1173</v>
      </c>
      <c r="BC48" s="71">
        <v>34</v>
      </c>
      <c r="BD48" s="71">
        <v>54</v>
      </c>
      <c r="BE48" s="71">
        <v>378</v>
      </c>
      <c r="BF48" s="71">
        <v>1097</v>
      </c>
      <c r="BG48" s="71">
        <v>1</v>
      </c>
      <c r="BH48" s="71">
        <v>17000</v>
      </c>
      <c r="BI48" s="71">
        <v>710</v>
      </c>
      <c r="BJ48" s="71">
        <v>200</v>
      </c>
      <c r="BK48" s="71"/>
      <c r="BL48" s="71"/>
      <c r="BM48" s="71"/>
      <c r="BN48" s="65">
        <f t="shared" si="27"/>
        <v>1</v>
      </c>
      <c r="BO48" s="65">
        <f t="shared" si="28"/>
        <v>6636.4</v>
      </c>
      <c r="BP48" s="65">
        <f t="shared" si="29"/>
        <v>4675.6</v>
      </c>
      <c r="BQ48" s="65"/>
      <c r="BR48" s="65"/>
      <c r="BS48" s="65"/>
      <c r="BT48" s="71"/>
      <c r="BU48" s="71"/>
      <c r="BV48" s="71"/>
      <c r="BW48" s="71"/>
      <c r="BX48" s="71"/>
      <c r="BY48" s="65"/>
      <c r="BZ48" s="101"/>
      <c r="CA48" s="101"/>
      <c r="CB48" s="101"/>
      <c r="CC48" s="101"/>
      <c r="CD48" s="101"/>
      <c r="CE48" s="101"/>
      <c r="CF48" s="101"/>
      <c r="CG48" s="102"/>
      <c r="CH48" s="102"/>
      <c r="CI48" s="77">
        <v>1816.6</v>
      </c>
      <c r="CJ48" s="78">
        <v>3550</v>
      </c>
      <c r="CK48" s="78">
        <f t="shared" si="22"/>
        <v>2349</v>
      </c>
      <c r="CL48" s="79" t="str">
        <f t="shared" si="17"/>
        <v>0</v>
      </c>
      <c r="CM48" s="80">
        <f t="shared" si="23"/>
        <v>0</v>
      </c>
      <c r="CN48" s="79">
        <f t="shared" si="24"/>
        <v>1</v>
      </c>
      <c r="CO48" s="80">
        <f t="shared" si="25"/>
        <v>7423</v>
      </c>
      <c r="CP48" s="80">
        <f aca="true" t="shared" si="30" ref="CP48:CP65">CL48+CN48</f>
        <v>1</v>
      </c>
      <c r="CQ48" s="80">
        <f aca="true" t="shared" si="31" ref="CQ48:CQ65">CM48+CO48</f>
        <v>7423</v>
      </c>
      <c r="CR48" s="52">
        <f>62+9</f>
        <v>71</v>
      </c>
      <c r="CS48" s="33">
        <v>1</v>
      </c>
      <c r="CT48" s="33">
        <v>0</v>
      </c>
      <c r="CU48" s="33">
        <v>0</v>
      </c>
      <c r="CV48" s="33">
        <v>1</v>
      </c>
      <c r="CW48" s="33">
        <v>2</v>
      </c>
      <c r="CX48" s="33">
        <v>0</v>
      </c>
      <c r="CY48" s="33">
        <v>0</v>
      </c>
      <c r="CZ48" s="33">
        <v>1</v>
      </c>
      <c r="DA48" s="33">
        <v>0</v>
      </c>
      <c r="DB48" s="33">
        <v>152</v>
      </c>
      <c r="DC48" s="33">
        <v>59</v>
      </c>
      <c r="DD48" s="33">
        <v>59</v>
      </c>
      <c r="DE48" s="33">
        <v>36</v>
      </c>
      <c r="DF48" s="33">
        <v>13</v>
      </c>
      <c r="DG48" s="33">
        <v>13</v>
      </c>
      <c r="DH48" s="82" t="str">
        <f t="shared" si="13"/>
        <v>0</v>
      </c>
      <c r="DI48" s="82" t="str">
        <f t="shared" si="14"/>
        <v>0</v>
      </c>
      <c r="DJ48" s="83">
        <f t="shared" si="5"/>
        <v>44.87071303718886</v>
      </c>
    </row>
    <row r="49" spans="1:114" s="28" customFormat="1" ht="15">
      <c r="A49" s="26" t="s">
        <v>108</v>
      </c>
      <c r="B49" s="60">
        <v>43</v>
      </c>
      <c r="C49" s="95" t="s">
        <v>72</v>
      </c>
      <c r="D49" s="96">
        <v>1974</v>
      </c>
      <c r="E49" s="97" t="s">
        <v>136</v>
      </c>
      <c r="F49" s="98" t="s">
        <v>133</v>
      </c>
      <c r="G49" s="82">
        <v>1</v>
      </c>
      <c r="H49" s="97">
        <v>9</v>
      </c>
      <c r="I49" s="97" t="s">
        <v>124</v>
      </c>
      <c r="J49" s="71">
        <v>29148</v>
      </c>
      <c r="K49" s="71">
        <v>1210</v>
      </c>
      <c r="L49" s="71" t="s">
        <v>226</v>
      </c>
      <c r="M49" s="71">
        <v>1408</v>
      </c>
      <c r="N49" s="71"/>
      <c r="O49" s="71">
        <v>354</v>
      </c>
      <c r="P49" s="71">
        <v>354</v>
      </c>
      <c r="Q49" s="71">
        <v>271</v>
      </c>
      <c r="R49" s="66">
        <v>387</v>
      </c>
      <c r="S49" s="99">
        <v>6748.89</v>
      </c>
      <c r="T49" s="100">
        <v>4891.79</v>
      </c>
      <c r="U49" s="69">
        <v>101</v>
      </c>
      <c r="V49" s="104">
        <v>1952.7699999999995</v>
      </c>
      <c r="W49" s="104">
        <v>1419.8799999999999</v>
      </c>
      <c r="X49" s="71">
        <f t="shared" si="6"/>
        <v>253</v>
      </c>
      <c r="Y49" s="72">
        <f t="shared" si="7"/>
        <v>4796.120000000001</v>
      </c>
      <c r="Z49" s="72">
        <f t="shared" si="8"/>
        <v>3471.91</v>
      </c>
      <c r="AA49" s="72"/>
      <c r="AB49" s="72"/>
      <c r="AC49" s="72"/>
      <c r="AD49" s="72">
        <f t="shared" si="9"/>
        <v>93.13</v>
      </c>
      <c r="AE49" s="100">
        <f t="shared" si="10"/>
        <v>93.13</v>
      </c>
      <c r="AF49" s="72"/>
      <c r="AG49" s="100">
        <v>93.13</v>
      </c>
      <c r="AH49" s="72"/>
      <c r="AI49" s="72"/>
      <c r="AJ49" s="73">
        <f t="shared" si="15"/>
        <v>6842.02</v>
      </c>
      <c r="AK49" s="71"/>
      <c r="AL49" s="71">
        <v>2</v>
      </c>
      <c r="AM49" s="71">
        <v>2</v>
      </c>
      <c r="AN49" s="71">
        <v>1</v>
      </c>
      <c r="AO49" s="71"/>
      <c r="AP49" s="71">
        <v>1</v>
      </c>
      <c r="AQ49" s="71">
        <v>4533</v>
      </c>
      <c r="AR49" s="71"/>
      <c r="AS49" s="71">
        <v>300</v>
      </c>
      <c r="AT49" s="71">
        <v>184</v>
      </c>
      <c r="AU49" s="71">
        <v>76</v>
      </c>
      <c r="AV49" s="71">
        <v>6010</v>
      </c>
      <c r="AW49" s="71"/>
      <c r="AX49" s="71">
        <v>6010</v>
      </c>
      <c r="AY49" s="71">
        <v>3268</v>
      </c>
      <c r="AZ49" s="71">
        <v>309</v>
      </c>
      <c r="BA49" s="71">
        <v>1174</v>
      </c>
      <c r="BB49" s="71">
        <v>1174</v>
      </c>
      <c r="BC49" s="71">
        <v>34</v>
      </c>
      <c r="BD49" s="71">
        <v>54</v>
      </c>
      <c r="BE49" s="71">
        <v>387</v>
      </c>
      <c r="BF49" s="71">
        <v>1121</v>
      </c>
      <c r="BG49" s="71">
        <v>1</v>
      </c>
      <c r="BH49" s="71">
        <v>17000</v>
      </c>
      <c r="BI49" s="71">
        <v>710</v>
      </c>
      <c r="BJ49" s="71">
        <v>200</v>
      </c>
      <c r="BK49" s="71"/>
      <c r="BL49" s="71"/>
      <c r="BM49" s="71"/>
      <c r="BN49" s="65">
        <f t="shared" si="27"/>
        <v>1</v>
      </c>
      <c r="BO49" s="65">
        <f t="shared" si="28"/>
        <v>6748.89</v>
      </c>
      <c r="BP49" s="65">
        <f t="shared" si="29"/>
        <v>4891.79</v>
      </c>
      <c r="BQ49" s="65"/>
      <c r="BR49" s="65"/>
      <c r="BS49" s="65"/>
      <c r="BT49" s="71"/>
      <c r="BU49" s="71"/>
      <c r="BV49" s="71"/>
      <c r="BW49" s="71"/>
      <c r="BX49" s="71"/>
      <c r="BY49" s="65"/>
      <c r="BZ49" s="101"/>
      <c r="CA49" s="101"/>
      <c r="CB49" s="101"/>
      <c r="CC49" s="101"/>
      <c r="CD49" s="101"/>
      <c r="CE49" s="101"/>
      <c r="CF49" s="101"/>
      <c r="CG49" s="102"/>
      <c r="CH49" s="102"/>
      <c r="CI49" s="77">
        <v>1886.35</v>
      </c>
      <c r="CJ49" s="78">
        <v>2906</v>
      </c>
      <c r="CK49" s="78">
        <f t="shared" si="22"/>
        <v>1696</v>
      </c>
      <c r="CL49" s="79" t="str">
        <f t="shared" si="17"/>
        <v>0</v>
      </c>
      <c r="CM49" s="80">
        <f t="shared" si="23"/>
        <v>0</v>
      </c>
      <c r="CN49" s="79">
        <f t="shared" si="24"/>
        <v>1</v>
      </c>
      <c r="CO49" s="80">
        <f t="shared" si="25"/>
        <v>6010</v>
      </c>
      <c r="CP49" s="80">
        <f t="shared" si="30"/>
        <v>1</v>
      </c>
      <c r="CQ49" s="80">
        <f t="shared" si="31"/>
        <v>6010</v>
      </c>
      <c r="CR49" s="52">
        <v>71</v>
      </c>
      <c r="CS49" s="33">
        <v>1</v>
      </c>
      <c r="CT49" s="33">
        <v>0</v>
      </c>
      <c r="CU49" s="33">
        <v>0</v>
      </c>
      <c r="CV49" s="33">
        <v>0</v>
      </c>
      <c r="CW49" s="33">
        <v>2</v>
      </c>
      <c r="CX49" s="33">
        <v>0</v>
      </c>
      <c r="CY49" s="33">
        <v>0</v>
      </c>
      <c r="CZ49" s="33">
        <v>0</v>
      </c>
      <c r="DA49" s="33">
        <v>0</v>
      </c>
      <c r="DB49" s="33">
        <v>29</v>
      </c>
      <c r="DC49" s="33">
        <v>12</v>
      </c>
      <c r="DD49" s="33">
        <v>12</v>
      </c>
      <c r="DE49" s="33">
        <v>13</v>
      </c>
      <c r="DF49" s="33">
        <v>6</v>
      </c>
      <c r="DG49" s="33">
        <v>6</v>
      </c>
      <c r="DH49" s="82">
        <f t="shared" si="13"/>
        <v>1</v>
      </c>
      <c r="DI49" s="82">
        <f t="shared" si="14"/>
        <v>6748.89</v>
      </c>
      <c r="DJ49" s="83">
        <f t="shared" si="5"/>
        <v>71.06531592602636</v>
      </c>
    </row>
    <row r="50" spans="1:114" s="28" customFormat="1" ht="15">
      <c r="A50" s="26" t="s">
        <v>108</v>
      </c>
      <c r="B50" s="60">
        <v>44</v>
      </c>
      <c r="C50" s="95" t="s">
        <v>73</v>
      </c>
      <c r="D50" s="96">
        <v>1972</v>
      </c>
      <c r="E50" s="97" t="s">
        <v>136</v>
      </c>
      <c r="F50" s="98" t="s">
        <v>133</v>
      </c>
      <c r="G50" s="82">
        <v>1</v>
      </c>
      <c r="H50" s="97">
        <v>9</v>
      </c>
      <c r="I50" s="97" t="s">
        <v>124</v>
      </c>
      <c r="J50" s="71">
        <v>29083</v>
      </c>
      <c r="K50" s="71">
        <v>1192</v>
      </c>
      <c r="L50" s="71" t="s">
        <v>227</v>
      </c>
      <c r="M50" s="71">
        <v>1404</v>
      </c>
      <c r="N50" s="71"/>
      <c r="O50" s="71">
        <v>352</v>
      </c>
      <c r="P50" s="71">
        <v>352</v>
      </c>
      <c r="Q50" s="71">
        <v>332</v>
      </c>
      <c r="R50" s="71">
        <v>430</v>
      </c>
      <c r="S50" s="99">
        <v>6712.34</v>
      </c>
      <c r="T50" s="100">
        <v>4880.12</v>
      </c>
      <c r="U50" s="103">
        <v>197</v>
      </c>
      <c r="V50" s="104">
        <v>3800.4599999999996</v>
      </c>
      <c r="W50" s="104">
        <v>2768.66</v>
      </c>
      <c r="X50" s="71">
        <f t="shared" si="6"/>
        <v>155</v>
      </c>
      <c r="Y50" s="72">
        <f t="shared" si="7"/>
        <v>2911.8800000000006</v>
      </c>
      <c r="Z50" s="72">
        <f t="shared" si="8"/>
        <v>2111.46</v>
      </c>
      <c r="AA50" s="72"/>
      <c r="AB50" s="72"/>
      <c r="AC50" s="72"/>
      <c r="AD50" s="72">
        <f t="shared" si="9"/>
        <v>103.68</v>
      </c>
      <c r="AE50" s="100">
        <f t="shared" si="10"/>
        <v>103.68</v>
      </c>
      <c r="AF50" s="72"/>
      <c r="AG50" s="100">
        <f>129.11-25.43</f>
        <v>103.68</v>
      </c>
      <c r="AH50" s="72"/>
      <c r="AI50" s="72"/>
      <c r="AJ50" s="73">
        <f t="shared" si="15"/>
        <v>6816.02</v>
      </c>
      <c r="AK50" s="71"/>
      <c r="AL50" s="71">
        <v>2</v>
      </c>
      <c r="AM50" s="71">
        <v>2</v>
      </c>
      <c r="AN50" s="71">
        <v>1</v>
      </c>
      <c r="AO50" s="71"/>
      <c r="AP50" s="71">
        <v>1</v>
      </c>
      <c r="AQ50" s="71">
        <v>4561</v>
      </c>
      <c r="AR50" s="71"/>
      <c r="AS50" s="71">
        <v>381</v>
      </c>
      <c r="AT50" s="71">
        <v>236</v>
      </c>
      <c r="AU50" s="71">
        <v>76</v>
      </c>
      <c r="AV50" s="71">
        <v>7403</v>
      </c>
      <c r="AW50" s="71"/>
      <c r="AX50" s="71">
        <v>7403</v>
      </c>
      <c r="AY50" s="71">
        <v>3384</v>
      </c>
      <c r="AZ50" s="71">
        <v>231</v>
      </c>
      <c r="BA50" s="71">
        <v>1174</v>
      </c>
      <c r="BB50" s="71">
        <v>1174</v>
      </c>
      <c r="BC50" s="71">
        <v>34</v>
      </c>
      <c r="BD50" s="71">
        <v>54</v>
      </c>
      <c r="BE50" s="71">
        <v>384</v>
      </c>
      <c r="BF50" s="71">
        <v>1121</v>
      </c>
      <c r="BG50" s="71">
        <v>1</v>
      </c>
      <c r="BH50" s="71">
        <v>17000</v>
      </c>
      <c r="BI50" s="71">
        <v>710</v>
      </c>
      <c r="BJ50" s="71">
        <v>200</v>
      </c>
      <c r="BK50" s="71"/>
      <c r="BL50" s="71"/>
      <c r="BM50" s="71"/>
      <c r="BN50" s="65">
        <f t="shared" si="27"/>
        <v>1</v>
      </c>
      <c r="BO50" s="65">
        <f t="shared" si="28"/>
        <v>6712.34</v>
      </c>
      <c r="BP50" s="65">
        <f t="shared" si="29"/>
        <v>4880.12</v>
      </c>
      <c r="BQ50" s="65"/>
      <c r="BR50" s="65"/>
      <c r="BS50" s="65"/>
      <c r="BT50" s="71"/>
      <c r="BU50" s="71"/>
      <c r="BV50" s="71"/>
      <c r="BW50" s="71"/>
      <c r="BX50" s="71"/>
      <c r="BY50" s="65"/>
      <c r="BZ50" s="101"/>
      <c r="CA50" s="101"/>
      <c r="CB50" s="101"/>
      <c r="CC50" s="101"/>
      <c r="CD50" s="101"/>
      <c r="CE50" s="101"/>
      <c r="CF50" s="101"/>
      <c r="CG50" s="102"/>
      <c r="CH50" s="102"/>
      <c r="CI50" s="77">
        <v>1929.68</v>
      </c>
      <c r="CJ50" s="78">
        <v>2472</v>
      </c>
      <c r="CK50" s="78">
        <f t="shared" si="22"/>
        <v>1280</v>
      </c>
      <c r="CL50" s="79" t="str">
        <f t="shared" si="17"/>
        <v>0</v>
      </c>
      <c r="CM50" s="80">
        <f t="shared" si="23"/>
        <v>0</v>
      </c>
      <c r="CN50" s="79">
        <f t="shared" si="24"/>
        <v>1</v>
      </c>
      <c r="CO50" s="80">
        <f t="shared" si="25"/>
        <v>7403</v>
      </c>
      <c r="CP50" s="80">
        <f t="shared" si="30"/>
        <v>1</v>
      </c>
      <c r="CQ50" s="80">
        <f t="shared" si="31"/>
        <v>7403</v>
      </c>
      <c r="CR50" s="52">
        <f>65+6</f>
        <v>71</v>
      </c>
      <c r="CS50" s="33">
        <v>1</v>
      </c>
      <c r="CT50" s="33">
        <v>0</v>
      </c>
      <c r="CU50" s="33">
        <v>0</v>
      </c>
      <c r="CV50" s="33">
        <v>0</v>
      </c>
      <c r="CW50" s="33">
        <v>2</v>
      </c>
      <c r="CX50" s="33">
        <v>0</v>
      </c>
      <c r="CY50" s="33">
        <v>0</v>
      </c>
      <c r="CZ50" s="33">
        <v>0</v>
      </c>
      <c r="DA50" s="33">
        <v>0</v>
      </c>
      <c r="DB50" s="33">
        <v>96</v>
      </c>
      <c r="DC50" s="33">
        <v>54</v>
      </c>
      <c r="DD50" s="33">
        <v>54</v>
      </c>
      <c r="DE50" s="33">
        <v>22</v>
      </c>
      <c r="DF50" s="33">
        <v>13</v>
      </c>
      <c r="DG50" s="33">
        <v>13</v>
      </c>
      <c r="DH50" s="82" t="str">
        <f t="shared" si="13"/>
        <v>0</v>
      </c>
      <c r="DI50" s="82" t="str">
        <f t="shared" si="14"/>
        <v>0</v>
      </c>
      <c r="DJ50" s="83">
        <f t="shared" si="5"/>
        <v>43.38099679098497</v>
      </c>
    </row>
    <row r="51" spans="1:114" s="28" customFormat="1" ht="15">
      <c r="A51" s="26" t="s">
        <v>108</v>
      </c>
      <c r="B51" s="60">
        <v>45</v>
      </c>
      <c r="C51" s="95" t="s">
        <v>76</v>
      </c>
      <c r="D51" s="96">
        <v>1978</v>
      </c>
      <c r="E51" s="97" t="s">
        <v>136</v>
      </c>
      <c r="F51" s="98" t="s">
        <v>133</v>
      </c>
      <c r="G51" s="82">
        <v>1</v>
      </c>
      <c r="H51" s="97">
        <v>9</v>
      </c>
      <c r="I51" s="97" t="s">
        <v>124</v>
      </c>
      <c r="J51" s="71">
        <v>29472</v>
      </c>
      <c r="K51" s="71">
        <v>1222</v>
      </c>
      <c r="L51" s="71" t="s">
        <v>228</v>
      </c>
      <c r="M51" s="71">
        <v>1414</v>
      </c>
      <c r="N51" s="71"/>
      <c r="O51" s="71">
        <f>326+1+1</f>
        <v>328</v>
      </c>
      <c r="P51" s="71">
        <f>326+1+1</f>
        <v>328</v>
      </c>
      <c r="Q51" s="71">
        <v>300</v>
      </c>
      <c r="R51" s="71">
        <v>407</v>
      </c>
      <c r="S51" s="99">
        <f>6418.6+21.5+16.69</f>
        <v>6456.79</v>
      </c>
      <c r="T51" s="100">
        <v>4648.199999999999</v>
      </c>
      <c r="U51" s="103">
        <v>186</v>
      </c>
      <c r="V51" s="104">
        <v>3683.5999999999976</v>
      </c>
      <c r="W51" s="104">
        <v>2671.600000000002</v>
      </c>
      <c r="X51" s="71">
        <f t="shared" si="6"/>
        <v>142</v>
      </c>
      <c r="Y51" s="72">
        <f t="shared" si="7"/>
        <v>2773.1900000000023</v>
      </c>
      <c r="Z51" s="72">
        <f t="shared" si="8"/>
        <v>1976.5999999999967</v>
      </c>
      <c r="AA51" s="72"/>
      <c r="AB51" s="72"/>
      <c r="AC51" s="72"/>
      <c r="AD51" s="72">
        <f t="shared" si="9"/>
        <v>59.900000000000006</v>
      </c>
      <c r="AE51" s="100">
        <f t="shared" si="10"/>
        <v>59.900000000000006</v>
      </c>
      <c r="AF51" s="72"/>
      <c r="AG51" s="100">
        <f>148.99-17-21.5-33.9-16.69</f>
        <v>59.900000000000006</v>
      </c>
      <c r="AH51" s="72"/>
      <c r="AI51" s="72"/>
      <c r="AJ51" s="73">
        <f t="shared" si="15"/>
        <v>6516.69</v>
      </c>
      <c r="AK51" s="71"/>
      <c r="AL51" s="71">
        <v>2</v>
      </c>
      <c r="AM51" s="71">
        <v>2</v>
      </c>
      <c r="AN51" s="71">
        <v>1</v>
      </c>
      <c r="AO51" s="71"/>
      <c r="AP51" s="71">
        <v>1</v>
      </c>
      <c r="AQ51" s="71">
        <v>4595</v>
      </c>
      <c r="AR51" s="71"/>
      <c r="AS51" s="71">
        <v>81</v>
      </c>
      <c r="AT51" s="71">
        <v>276</v>
      </c>
      <c r="AU51" s="71">
        <v>76</v>
      </c>
      <c r="AV51" s="71">
        <v>7383</v>
      </c>
      <c r="AW51" s="71"/>
      <c r="AX51" s="71">
        <v>7383</v>
      </c>
      <c r="AY51" s="71">
        <v>3288</v>
      </c>
      <c r="AZ51" s="71">
        <v>230</v>
      </c>
      <c r="BA51" s="71">
        <v>1175</v>
      </c>
      <c r="BB51" s="71">
        <v>1175</v>
      </c>
      <c r="BC51" s="71">
        <v>34</v>
      </c>
      <c r="BD51" s="71">
        <v>78</v>
      </c>
      <c r="BE51" s="71">
        <v>371</v>
      </c>
      <c r="BF51" s="71">
        <v>1113</v>
      </c>
      <c r="BG51" s="71">
        <v>1</v>
      </c>
      <c r="BH51" s="71">
        <v>17000</v>
      </c>
      <c r="BI51" s="71">
        <v>710</v>
      </c>
      <c r="BJ51" s="71">
        <v>200</v>
      </c>
      <c r="BK51" s="71"/>
      <c r="BL51" s="71"/>
      <c r="BM51" s="71"/>
      <c r="BN51" s="65">
        <f t="shared" si="27"/>
        <v>1</v>
      </c>
      <c r="BO51" s="65">
        <f t="shared" si="28"/>
        <v>6456.79</v>
      </c>
      <c r="BP51" s="65">
        <f t="shared" si="29"/>
        <v>4648.199999999999</v>
      </c>
      <c r="BQ51" s="65"/>
      <c r="BR51" s="65"/>
      <c r="BS51" s="65"/>
      <c r="BT51" s="71"/>
      <c r="BU51" s="71"/>
      <c r="BV51" s="71"/>
      <c r="BW51" s="71"/>
      <c r="BX51" s="71"/>
      <c r="BY51" s="65"/>
      <c r="BZ51" s="101"/>
      <c r="CA51" s="101"/>
      <c r="CB51" s="101"/>
      <c r="CC51" s="101"/>
      <c r="CD51" s="101"/>
      <c r="CE51" s="101"/>
      <c r="CF51" s="101"/>
      <c r="CG51" s="102"/>
      <c r="CH51" s="102"/>
      <c r="CI51" s="77">
        <v>1744.6</v>
      </c>
      <c r="CJ51" s="78">
        <v>3221</v>
      </c>
      <c r="CK51" s="78">
        <f t="shared" si="22"/>
        <v>1999</v>
      </c>
      <c r="CL51" s="79" t="str">
        <f t="shared" si="17"/>
        <v>0</v>
      </c>
      <c r="CM51" s="80">
        <f t="shared" si="23"/>
        <v>0</v>
      </c>
      <c r="CN51" s="79">
        <f t="shared" si="24"/>
        <v>1</v>
      </c>
      <c r="CO51" s="80">
        <f t="shared" si="25"/>
        <v>7383</v>
      </c>
      <c r="CP51" s="80">
        <f t="shared" si="30"/>
        <v>1</v>
      </c>
      <c r="CQ51" s="80">
        <f t="shared" si="31"/>
        <v>7383</v>
      </c>
      <c r="CR51" s="52">
        <f>66+5</f>
        <v>71</v>
      </c>
      <c r="CS51" s="33">
        <v>1</v>
      </c>
      <c r="CT51" s="33">
        <v>0</v>
      </c>
      <c r="CU51" s="33">
        <v>0</v>
      </c>
      <c r="CV51" s="33">
        <v>1</v>
      </c>
      <c r="CW51" s="33">
        <v>2</v>
      </c>
      <c r="CX51" s="33">
        <v>0</v>
      </c>
      <c r="CY51" s="33">
        <v>0</v>
      </c>
      <c r="CZ51" s="33">
        <v>1</v>
      </c>
      <c r="DA51" s="33">
        <v>0</v>
      </c>
      <c r="DB51" s="33">
        <v>127</v>
      </c>
      <c r="DC51" s="33">
        <v>57</v>
      </c>
      <c r="DD51" s="33">
        <v>57</v>
      </c>
      <c r="DE51" s="33">
        <v>31</v>
      </c>
      <c r="DF51" s="33">
        <v>18</v>
      </c>
      <c r="DG51" s="33">
        <v>18</v>
      </c>
      <c r="DH51" s="82" t="str">
        <f t="shared" si="13"/>
        <v>0</v>
      </c>
      <c r="DI51" s="82" t="str">
        <f t="shared" si="14"/>
        <v>0</v>
      </c>
      <c r="DJ51" s="83">
        <f t="shared" si="5"/>
        <v>42.94997978871858</v>
      </c>
    </row>
    <row r="52" spans="1:114" s="17" customFormat="1" ht="15">
      <c r="A52" s="22" t="s">
        <v>109</v>
      </c>
      <c r="B52" s="60">
        <v>46</v>
      </c>
      <c r="C52" s="95" t="s">
        <v>112</v>
      </c>
      <c r="D52" s="105">
        <v>1975</v>
      </c>
      <c r="E52" s="97" t="s">
        <v>132</v>
      </c>
      <c r="F52" s="98" t="s">
        <v>133</v>
      </c>
      <c r="G52" s="106">
        <v>1</v>
      </c>
      <c r="H52" s="107">
        <v>9</v>
      </c>
      <c r="I52" s="97" t="s">
        <v>124</v>
      </c>
      <c r="J52" s="106">
        <v>29083</v>
      </c>
      <c r="K52" s="106">
        <v>1215</v>
      </c>
      <c r="L52" s="106" t="s">
        <v>229</v>
      </c>
      <c r="M52" s="106"/>
      <c r="N52" s="106">
        <v>1232</v>
      </c>
      <c r="O52" s="106">
        <f>345+1</f>
        <v>346</v>
      </c>
      <c r="P52" s="106">
        <f>345+1</f>
        <v>346</v>
      </c>
      <c r="Q52" s="106">
        <v>333</v>
      </c>
      <c r="R52" s="71">
        <v>458</v>
      </c>
      <c r="S52" s="108">
        <f>6592.1+21.41</f>
        <v>6613.51</v>
      </c>
      <c r="T52" s="109">
        <v>4792.900000000001</v>
      </c>
      <c r="U52" s="103">
        <v>173</v>
      </c>
      <c r="V52" s="109">
        <v>3338.609999999998</v>
      </c>
      <c r="W52" s="109">
        <v>2423.100000000001</v>
      </c>
      <c r="X52" s="71">
        <f t="shared" si="6"/>
        <v>173</v>
      </c>
      <c r="Y52" s="72">
        <f t="shared" si="7"/>
        <v>3274.9000000000024</v>
      </c>
      <c r="Z52" s="72">
        <f t="shared" si="8"/>
        <v>2369.7999999999997</v>
      </c>
      <c r="AA52" s="110"/>
      <c r="AB52" s="110"/>
      <c r="AC52" s="110"/>
      <c r="AD52" s="72">
        <f t="shared" si="9"/>
        <v>38.8</v>
      </c>
      <c r="AE52" s="111">
        <f t="shared" si="10"/>
        <v>38.8</v>
      </c>
      <c r="AF52" s="112"/>
      <c r="AG52" s="111">
        <f>89.6-29.4-21.4</f>
        <v>38.8</v>
      </c>
      <c r="AH52" s="110"/>
      <c r="AI52" s="110"/>
      <c r="AJ52" s="73">
        <f t="shared" si="15"/>
        <v>6652.31</v>
      </c>
      <c r="AK52" s="106"/>
      <c r="AL52" s="106">
        <v>2</v>
      </c>
      <c r="AM52" s="106">
        <v>2</v>
      </c>
      <c r="AN52" s="106">
        <v>1</v>
      </c>
      <c r="AO52" s="106"/>
      <c r="AP52" s="106">
        <v>1</v>
      </c>
      <c r="AQ52" s="106">
        <v>4603</v>
      </c>
      <c r="AR52" s="106"/>
      <c r="AS52" s="106">
        <v>324</v>
      </c>
      <c r="AT52" s="113">
        <v>247</v>
      </c>
      <c r="AU52" s="106">
        <v>76</v>
      </c>
      <c r="AV52" s="106">
        <v>7224</v>
      </c>
      <c r="AW52" s="106"/>
      <c r="AX52" s="106">
        <v>7224</v>
      </c>
      <c r="AY52" s="106">
        <v>3390</v>
      </c>
      <c r="AZ52" s="106">
        <v>223</v>
      </c>
      <c r="BA52" s="106">
        <v>1174</v>
      </c>
      <c r="BB52" s="106">
        <v>1174</v>
      </c>
      <c r="BC52" s="106">
        <v>62</v>
      </c>
      <c r="BD52" s="106">
        <v>54</v>
      </c>
      <c r="BE52" s="106">
        <v>378</v>
      </c>
      <c r="BF52" s="106">
        <v>1096</v>
      </c>
      <c r="BG52" s="106">
        <v>1</v>
      </c>
      <c r="BH52" s="106">
        <v>17000</v>
      </c>
      <c r="BI52" s="106">
        <v>710</v>
      </c>
      <c r="BJ52" s="106">
        <v>200</v>
      </c>
      <c r="BK52" s="106"/>
      <c r="BL52" s="106"/>
      <c r="BM52" s="106"/>
      <c r="BN52" s="106">
        <f t="shared" si="27"/>
        <v>1</v>
      </c>
      <c r="BO52" s="106">
        <f t="shared" si="28"/>
        <v>6613.51</v>
      </c>
      <c r="BP52" s="106">
        <f t="shared" si="29"/>
        <v>4792.900000000001</v>
      </c>
      <c r="BQ52" s="106"/>
      <c r="BR52" s="106"/>
      <c r="BS52" s="106"/>
      <c r="BT52" s="106"/>
      <c r="BU52" s="106"/>
      <c r="BV52" s="106"/>
      <c r="BW52" s="106"/>
      <c r="BX52" s="106"/>
      <c r="BY52" s="106"/>
      <c r="BZ52" s="114"/>
      <c r="CA52" s="114"/>
      <c r="CB52" s="114"/>
      <c r="CC52" s="114"/>
      <c r="CD52" s="114"/>
      <c r="CE52" s="114"/>
      <c r="CF52" s="114"/>
      <c r="CG52" s="102"/>
      <c r="CH52" s="102"/>
      <c r="CI52" s="77">
        <v>1780.3</v>
      </c>
      <c r="CJ52" s="78">
        <v>2340</v>
      </c>
      <c r="CK52" s="78">
        <f t="shared" si="22"/>
        <v>1125</v>
      </c>
      <c r="CL52" s="79" t="str">
        <f t="shared" si="17"/>
        <v>0</v>
      </c>
      <c r="CM52" s="80">
        <f t="shared" si="23"/>
        <v>0</v>
      </c>
      <c r="CN52" s="79">
        <f t="shared" si="24"/>
        <v>1</v>
      </c>
      <c r="CO52" s="80">
        <f t="shared" si="25"/>
        <v>7224</v>
      </c>
      <c r="CP52" s="80">
        <f t="shared" si="30"/>
        <v>1</v>
      </c>
      <c r="CQ52" s="80">
        <f t="shared" si="31"/>
        <v>7224</v>
      </c>
      <c r="CR52" s="81">
        <v>69</v>
      </c>
      <c r="CS52" s="33">
        <v>1</v>
      </c>
      <c r="CT52" s="33">
        <v>0</v>
      </c>
      <c r="CU52" s="33">
        <v>0</v>
      </c>
      <c r="CV52" s="33">
        <v>1</v>
      </c>
      <c r="CW52" s="33">
        <v>2</v>
      </c>
      <c r="CX52" s="33">
        <v>0</v>
      </c>
      <c r="CY52" s="33">
        <v>0</v>
      </c>
      <c r="CZ52" s="33">
        <v>1</v>
      </c>
      <c r="DA52" s="33">
        <v>0</v>
      </c>
      <c r="DB52" s="33">
        <v>153</v>
      </c>
      <c r="DC52" s="33">
        <v>67</v>
      </c>
      <c r="DD52" s="33">
        <v>67</v>
      </c>
      <c r="DE52" s="33">
        <v>54</v>
      </c>
      <c r="DF52" s="33">
        <v>25</v>
      </c>
      <c r="DG52" s="33">
        <v>25</v>
      </c>
      <c r="DH52" s="82" t="str">
        <f t="shared" si="13"/>
        <v>0</v>
      </c>
      <c r="DI52" s="82" t="str">
        <f t="shared" si="14"/>
        <v>0</v>
      </c>
      <c r="DJ52" s="83">
        <f t="shared" si="5"/>
        <v>49.51833443965462</v>
      </c>
    </row>
    <row r="53" spans="1:114" s="17" customFormat="1" ht="15">
      <c r="A53" s="22" t="s">
        <v>109</v>
      </c>
      <c r="B53" s="60">
        <v>47</v>
      </c>
      <c r="C53" s="95" t="s">
        <v>110</v>
      </c>
      <c r="D53" s="105">
        <v>1974</v>
      </c>
      <c r="E53" s="97" t="s">
        <v>132</v>
      </c>
      <c r="F53" s="98" t="s">
        <v>133</v>
      </c>
      <c r="G53" s="106">
        <v>1</v>
      </c>
      <c r="H53" s="107">
        <v>9</v>
      </c>
      <c r="I53" s="97" t="s">
        <v>124</v>
      </c>
      <c r="J53" s="106">
        <v>29080</v>
      </c>
      <c r="K53" s="106">
        <v>1208</v>
      </c>
      <c r="L53" s="106" t="s">
        <v>230</v>
      </c>
      <c r="M53" s="106">
        <v>1407</v>
      </c>
      <c r="N53" s="106"/>
      <c r="O53" s="106">
        <v>345</v>
      </c>
      <c r="P53" s="106">
        <v>345</v>
      </c>
      <c r="Q53" s="106">
        <v>333</v>
      </c>
      <c r="R53" s="71">
        <v>554</v>
      </c>
      <c r="S53" s="108">
        <v>6582.84</v>
      </c>
      <c r="T53" s="109">
        <v>4837.3</v>
      </c>
      <c r="U53" s="103">
        <v>138</v>
      </c>
      <c r="V53" s="109">
        <v>2698.8500000000013</v>
      </c>
      <c r="W53" s="109">
        <v>1982.2209999999995</v>
      </c>
      <c r="X53" s="71">
        <f t="shared" si="6"/>
        <v>207</v>
      </c>
      <c r="Y53" s="72">
        <f t="shared" si="7"/>
        <v>3883.989999999999</v>
      </c>
      <c r="Z53" s="72">
        <f t="shared" si="8"/>
        <v>2855.0790000000006</v>
      </c>
      <c r="AA53" s="110"/>
      <c r="AB53" s="110"/>
      <c r="AC53" s="110"/>
      <c r="AD53" s="72">
        <f t="shared" si="9"/>
        <v>75.1</v>
      </c>
      <c r="AE53" s="111">
        <f t="shared" si="10"/>
        <v>75.1</v>
      </c>
      <c r="AF53" s="112"/>
      <c r="AG53" s="111">
        <v>75.1</v>
      </c>
      <c r="AH53" s="110"/>
      <c r="AI53" s="110"/>
      <c r="AJ53" s="73">
        <f aca="true" t="shared" si="32" ref="AJ53:AJ65">S53+AD53</f>
        <v>6657.9400000000005</v>
      </c>
      <c r="AK53" s="106"/>
      <c r="AL53" s="106">
        <v>2</v>
      </c>
      <c r="AM53" s="106">
        <v>2</v>
      </c>
      <c r="AN53" s="106">
        <v>1</v>
      </c>
      <c r="AO53" s="106"/>
      <c r="AP53" s="106">
        <v>1</v>
      </c>
      <c r="AQ53" s="106">
        <v>4539</v>
      </c>
      <c r="AR53" s="106"/>
      <c r="AS53" s="106">
        <v>249</v>
      </c>
      <c r="AT53" s="113">
        <v>238</v>
      </c>
      <c r="AU53" s="106">
        <v>76</v>
      </c>
      <c r="AV53" s="106">
        <v>7343</v>
      </c>
      <c r="AW53" s="106"/>
      <c r="AX53" s="106">
        <v>7343</v>
      </c>
      <c r="AY53" s="106">
        <v>3268</v>
      </c>
      <c r="AZ53" s="106">
        <v>227</v>
      </c>
      <c r="BA53" s="106">
        <v>1173</v>
      </c>
      <c r="BB53" s="106">
        <v>1173</v>
      </c>
      <c r="BC53" s="106">
        <v>71</v>
      </c>
      <c r="BD53" s="106">
        <v>54</v>
      </c>
      <c r="BE53" s="106">
        <v>377</v>
      </c>
      <c r="BF53" s="106">
        <v>1097</v>
      </c>
      <c r="BG53" s="106">
        <v>1</v>
      </c>
      <c r="BH53" s="106">
        <v>17000</v>
      </c>
      <c r="BI53" s="106">
        <v>710</v>
      </c>
      <c r="BJ53" s="106">
        <v>200</v>
      </c>
      <c r="BK53" s="106"/>
      <c r="BL53" s="106"/>
      <c r="BM53" s="106"/>
      <c r="BN53" s="106">
        <f t="shared" si="27"/>
        <v>1</v>
      </c>
      <c r="BO53" s="106">
        <f t="shared" si="28"/>
        <v>6582.84</v>
      </c>
      <c r="BP53" s="106">
        <f t="shared" si="29"/>
        <v>4837.3</v>
      </c>
      <c r="BQ53" s="106"/>
      <c r="BR53" s="106"/>
      <c r="BS53" s="106"/>
      <c r="BT53" s="106"/>
      <c r="BU53" s="106"/>
      <c r="BV53" s="106"/>
      <c r="BW53" s="106"/>
      <c r="BX53" s="106"/>
      <c r="BY53" s="106"/>
      <c r="BZ53" s="114"/>
      <c r="CA53" s="114"/>
      <c r="CB53" s="114"/>
      <c r="CC53" s="114"/>
      <c r="CD53" s="114"/>
      <c r="CE53" s="114"/>
      <c r="CF53" s="114"/>
      <c r="CG53" s="102"/>
      <c r="CH53" s="76"/>
      <c r="CI53" s="77">
        <v>1811.84</v>
      </c>
      <c r="CJ53" s="78">
        <v>3281</v>
      </c>
      <c r="CK53" s="78">
        <f t="shared" si="22"/>
        <v>2073</v>
      </c>
      <c r="CL53" s="79" t="str">
        <f t="shared" si="17"/>
        <v>0</v>
      </c>
      <c r="CM53" s="80">
        <f t="shared" si="23"/>
        <v>0</v>
      </c>
      <c r="CN53" s="79">
        <f t="shared" si="24"/>
        <v>1</v>
      </c>
      <c r="CO53" s="80">
        <f t="shared" si="25"/>
        <v>7343</v>
      </c>
      <c r="CP53" s="80">
        <f t="shared" si="30"/>
        <v>1</v>
      </c>
      <c r="CQ53" s="80">
        <f t="shared" si="31"/>
        <v>7343</v>
      </c>
      <c r="CR53" s="81">
        <v>69</v>
      </c>
      <c r="CS53" s="33">
        <v>1</v>
      </c>
      <c r="CT53" s="33">
        <v>0</v>
      </c>
      <c r="CU53" s="33">
        <v>0</v>
      </c>
      <c r="CV53" s="33">
        <v>1</v>
      </c>
      <c r="CW53" s="33">
        <v>2</v>
      </c>
      <c r="CX53" s="33">
        <v>0</v>
      </c>
      <c r="CY53" s="33">
        <v>0</v>
      </c>
      <c r="CZ53" s="33">
        <v>1</v>
      </c>
      <c r="DA53" s="33">
        <v>0</v>
      </c>
      <c r="DB53" s="33">
        <v>72</v>
      </c>
      <c r="DC53" s="33">
        <v>57</v>
      </c>
      <c r="DD53" s="33">
        <v>57</v>
      </c>
      <c r="DE53" s="33">
        <v>29</v>
      </c>
      <c r="DF53" s="33">
        <v>26</v>
      </c>
      <c r="DG53" s="33">
        <v>26</v>
      </c>
      <c r="DH53" s="82">
        <f t="shared" si="13"/>
        <v>1</v>
      </c>
      <c r="DI53" s="82">
        <f t="shared" si="14"/>
        <v>6582.84</v>
      </c>
      <c r="DJ53" s="83">
        <f t="shared" si="5"/>
        <v>59.00173785174786</v>
      </c>
    </row>
    <row r="54" spans="1:114" s="24" customFormat="1" ht="15">
      <c r="A54" s="23" t="s">
        <v>109</v>
      </c>
      <c r="B54" s="60">
        <v>48</v>
      </c>
      <c r="C54" s="95" t="s">
        <v>123</v>
      </c>
      <c r="D54" s="105">
        <v>1964</v>
      </c>
      <c r="E54" s="97" t="s">
        <v>132</v>
      </c>
      <c r="F54" s="95" t="s">
        <v>131</v>
      </c>
      <c r="G54" s="106">
        <v>1</v>
      </c>
      <c r="H54" s="107">
        <v>5</v>
      </c>
      <c r="I54" s="97" t="s">
        <v>125</v>
      </c>
      <c r="J54" s="106">
        <f>13100+3225</f>
        <v>16325</v>
      </c>
      <c r="K54" s="106">
        <f>933</f>
        <v>933</v>
      </c>
      <c r="L54" s="106" t="s">
        <v>231</v>
      </c>
      <c r="M54" s="106">
        <f>1054+388</f>
        <v>1442</v>
      </c>
      <c r="N54" s="106"/>
      <c r="O54" s="106">
        <v>145</v>
      </c>
      <c r="P54" s="106">
        <v>155</v>
      </c>
      <c r="Q54" s="106">
        <v>102</v>
      </c>
      <c r="R54" s="71">
        <v>84</v>
      </c>
      <c r="S54" s="111">
        <v>2716.68</v>
      </c>
      <c r="T54" s="115">
        <v>1862.51</v>
      </c>
      <c r="U54" s="103">
        <v>28</v>
      </c>
      <c r="V54" s="109">
        <v>573.4200000000001</v>
      </c>
      <c r="W54" s="109">
        <v>405.39</v>
      </c>
      <c r="X54" s="71">
        <f t="shared" si="6"/>
        <v>117</v>
      </c>
      <c r="Y54" s="72">
        <f t="shared" si="7"/>
        <v>2143.2599999999998</v>
      </c>
      <c r="Z54" s="72">
        <f t="shared" si="8"/>
        <v>1457.12</v>
      </c>
      <c r="AA54" s="110"/>
      <c r="AB54" s="110"/>
      <c r="AC54" s="110"/>
      <c r="AD54" s="72">
        <f t="shared" si="9"/>
        <v>94.7</v>
      </c>
      <c r="AE54" s="111">
        <f t="shared" si="10"/>
        <v>0</v>
      </c>
      <c r="AF54" s="112"/>
      <c r="AG54" s="111">
        <v>0</v>
      </c>
      <c r="AH54" s="110">
        <v>94.7</v>
      </c>
      <c r="AI54" s="110"/>
      <c r="AJ54" s="73">
        <f t="shared" si="32"/>
        <v>2811.3799999999997</v>
      </c>
      <c r="AK54" s="106"/>
      <c r="AL54" s="106"/>
      <c r="AM54" s="106">
        <f>2+1</f>
        <v>3</v>
      </c>
      <c r="AN54" s="106">
        <f>1</f>
        <v>1</v>
      </c>
      <c r="AO54" s="106"/>
      <c r="AP54" s="106">
        <f>1</f>
        <v>1</v>
      </c>
      <c r="AQ54" s="106">
        <f>2404+908</f>
        <v>3312</v>
      </c>
      <c r="AR54" s="106"/>
      <c r="AS54" s="106">
        <f>180+186</f>
        <v>366</v>
      </c>
      <c r="AT54" s="113">
        <f>298+44</f>
        <v>342</v>
      </c>
      <c r="AU54" s="106">
        <f>529+25</f>
        <v>554</v>
      </c>
      <c r="AV54" s="106">
        <f>2885+800</f>
        <v>3685</v>
      </c>
      <c r="AW54" s="106"/>
      <c r="AX54" s="106">
        <f>2885+800</f>
        <v>3685</v>
      </c>
      <c r="AY54" s="106"/>
      <c r="AZ54" s="106">
        <f>135+123</f>
        <v>258</v>
      </c>
      <c r="BA54" s="106">
        <f>668+907</f>
        <v>1575</v>
      </c>
      <c r="BB54" s="106">
        <f>668+907</f>
        <v>1575</v>
      </c>
      <c r="BC54" s="106">
        <f>11+4</f>
        <v>15</v>
      </c>
      <c r="BD54" s="106">
        <f>8+13</f>
        <v>21</v>
      </c>
      <c r="BE54" s="106">
        <f>138+70</f>
        <v>208</v>
      </c>
      <c r="BF54" s="106">
        <f>461+210</f>
        <v>671</v>
      </c>
      <c r="BG54" s="106">
        <f>0+1</f>
        <v>1</v>
      </c>
      <c r="BH54" s="106">
        <f>2637+650</f>
        <v>3287</v>
      </c>
      <c r="BI54" s="106">
        <f>68+200</f>
        <v>268</v>
      </c>
      <c r="BJ54" s="106"/>
      <c r="BK54" s="106">
        <f>G54</f>
        <v>1</v>
      </c>
      <c r="BL54" s="106">
        <f>S54</f>
        <v>2716.68</v>
      </c>
      <c r="BM54" s="106">
        <f>T54</f>
        <v>1862.51</v>
      </c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>
        <f>AQ54</f>
        <v>3312</v>
      </c>
      <c r="BZ54" s="114"/>
      <c r="CA54" s="114"/>
      <c r="CB54" s="114"/>
      <c r="CC54" s="114"/>
      <c r="CD54" s="114"/>
      <c r="CE54" s="114"/>
      <c r="CF54" s="114"/>
      <c r="CG54" s="102"/>
      <c r="CH54" s="76"/>
      <c r="CI54" s="77">
        <v>779.41</v>
      </c>
      <c r="CJ54" s="78">
        <v>2535</v>
      </c>
      <c r="CK54" s="78">
        <f t="shared" si="22"/>
        <v>1602</v>
      </c>
      <c r="CL54" s="79" t="str">
        <f t="shared" si="17"/>
        <v>0</v>
      </c>
      <c r="CM54" s="80">
        <f t="shared" si="23"/>
        <v>0</v>
      </c>
      <c r="CN54" s="79">
        <f t="shared" si="24"/>
        <v>1</v>
      </c>
      <c r="CO54" s="80">
        <f t="shared" si="25"/>
        <v>3685</v>
      </c>
      <c r="CP54" s="80">
        <f t="shared" si="30"/>
        <v>1</v>
      </c>
      <c r="CQ54" s="80">
        <f t="shared" si="31"/>
        <v>3685</v>
      </c>
      <c r="CR54" s="81">
        <v>49</v>
      </c>
      <c r="CS54" s="33">
        <v>1</v>
      </c>
      <c r="CT54" s="33">
        <v>0</v>
      </c>
      <c r="CU54" s="33">
        <v>0</v>
      </c>
      <c r="CV54" s="33">
        <v>0</v>
      </c>
      <c r="CW54" s="33">
        <v>2</v>
      </c>
      <c r="CX54" s="33">
        <v>0</v>
      </c>
      <c r="CY54" s="33">
        <v>0</v>
      </c>
      <c r="CZ54" s="33">
        <v>0</v>
      </c>
      <c r="DA54" s="33">
        <v>0</v>
      </c>
      <c r="DB54" s="33">
        <v>91</v>
      </c>
      <c r="DC54" s="33">
        <v>3</v>
      </c>
      <c r="DD54" s="33">
        <v>3</v>
      </c>
      <c r="DE54" s="33">
        <v>68</v>
      </c>
      <c r="DF54" s="33">
        <v>1</v>
      </c>
      <c r="DG54" s="33">
        <v>1</v>
      </c>
      <c r="DH54" s="82">
        <f t="shared" si="13"/>
        <v>1</v>
      </c>
      <c r="DI54" s="82">
        <f t="shared" si="14"/>
        <v>2716.68</v>
      </c>
      <c r="DJ54" s="83">
        <f t="shared" si="5"/>
        <v>78.89261893193162</v>
      </c>
    </row>
    <row r="55" spans="1:114" s="17" customFormat="1" ht="15">
      <c r="A55" s="22" t="s">
        <v>109</v>
      </c>
      <c r="B55" s="60">
        <v>49</v>
      </c>
      <c r="C55" s="95" t="s">
        <v>111</v>
      </c>
      <c r="D55" s="105">
        <v>1975</v>
      </c>
      <c r="E55" s="97" t="s">
        <v>132</v>
      </c>
      <c r="F55" s="98" t="s">
        <v>133</v>
      </c>
      <c r="G55" s="106">
        <v>1</v>
      </c>
      <c r="H55" s="107">
        <v>9</v>
      </c>
      <c r="I55" s="97" t="s">
        <v>124</v>
      </c>
      <c r="J55" s="106">
        <v>29316</v>
      </c>
      <c r="K55" s="106">
        <v>1168</v>
      </c>
      <c r="L55" s="106" t="s">
        <v>232</v>
      </c>
      <c r="M55" s="106"/>
      <c r="N55" s="106">
        <v>1273</v>
      </c>
      <c r="O55" s="106">
        <f>342+2</f>
        <v>344</v>
      </c>
      <c r="P55" s="106">
        <f>342+2</f>
        <v>344</v>
      </c>
      <c r="Q55" s="106">
        <v>356</v>
      </c>
      <c r="R55" s="71">
        <v>486</v>
      </c>
      <c r="S55" s="108">
        <f>6560.58+38.08</f>
        <v>6598.66</v>
      </c>
      <c r="T55" s="109">
        <v>4786.81</v>
      </c>
      <c r="U55" s="103">
        <v>193</v>
      </c>
      <c r="V55" s="109">
        <v>3733.500000000002</v>
      </c>
      <c r="W55" s="109">
        <v>2722.999999999999</v>
      </c>
      <c r="X55" s="71">
        <f t="shared" si="6"/>
        <v>151</v>
      </c>
      <c r="Y55" s="72">
        <f t="shared" si="7"/>
        <v>2865.159999999998</v>
      </c>
      <c r="Z55" s="72">
        <f t="shared" si="8"/>
        <v>2063.8100000000013</v>
      </c>
      <c r="AA55" s="110"/>
      <c r="AB55" s="110"/>
      <c r="AC55" s="110"/>
      <c r="AD55" s="72">
        <f t="shared" si="9"/>
        <v>53.8</v>
      </c>
      <c r="AE55" s="111">
        <f t="shared" si="10"/>
        <v>53.8</v>
      </c>
      <c r="AF55" s="112"/>
      <c r="AG55" s="111">
        <f>91.8-38</f>
        <v>53.8</v>
      </c>
      <c r="AH55" s="110"/>
      <c r="AI55" s="110"/>
      <c r="AJ55" s="89">
        <f t="shared" si="32"/>
        <v>6652.46</v>
      </c>
      <c r="AK55" s="106"/>
      <c r="AL55" s="106">
        <v>2</v>
      </c>
      <c r="AM55" s="106">
        <v>2</v>
      </c>
      <c r="AN55" s="106">
        <v>1</v>
      </c>
      <c r="AO55" s="106"/>
      <c r="AP55" s="106">
        <v>1</v>
      </c>
      <c r="AQ55" s="106">
        <v>4591</v>
      </c>
      <c r="AR55" s="106"/>
      <c r="AS55" s="106">
        <v>480</v>
      </c>
      <c r="AT55" s="113">
        <v>274</v>
      </c>
      <c r="AU55" s="106">
        <v>76</v>
      </c>
      <c r="AV55" s="106">
        <v>7124</v>
      </c>
      <c r="AW55" s="106"/>
      <c r="AX55" s="106">
        <v>7124</v>
      </c>
      <c r="AY55" s="106">
        <v>3284</v>
      </c>
      <c r="AZ55" s="106">
        <v>194</v>
      </c>
      <c r="BA55" s="106">
        <v>1168</v>
      </c>
      <c r="BB55" s="106">
        <v>1168</v>
      </c>
      <c r="BC55" s="106">
        <v>71</v>
      </c>
      <c r="BD55" s="106">
        <v>54</v>
      </c>
      <c r="BE55" s="106">
        <v>378</v>
      </c>
      <c r="BF55" s="106">
        <v>1097</v>
      </c>
      <c r="BG55" s="106">
        <v>1</v>
      </c>
      <c r="BH55" s="106">
        <v>17000</v>
      </c>
      <c r="BI55" s="106">
        <v>710</v>
      </c>
      <c r="BJ55" s="106">
        <v>200</v>
      </c>
      <c r="BK55" s="106"/>
      <c r="BL55" s="106"/>
      <c r="BM55" s="106"/>
      <c r="BN55" s="106">
        <f aca="true" t="shared" si="33" ref="BN55:BN62">G55</f>
        <v>1</v>
      </c>
      <c r="BO55" s="106">
        <f aca="true" t="shared" si="34" ref="BO55:BP62">S55</f>
        <v>6598.66</v>
      </c>
      <c r="BP55" s="106">
        <f t="shared" si="34"/>
        <v>4786.81</v>
      </c>
      <c r="BQ55" s="106"/>
      <c r="BR55" s="106"/>
      <c r="BS55" s="106"/>
      <c r="BT55" s="106"/>
      <c r="BU55" s="106"/>
      <c r="BV55" s="106"/>
      <c r="BW55" s="106"/>
      <c r="BX55" s="106"/>
      <c r="BY55" s="106"/>
      <c r="BZ55" s="114"/>
      <c r="CA55" s="114"/>
      <c r="CB55" s="114"/>
      <c r="CC55" s="114"/>
      <c r="CD55" s="114"/>
      <c r="CE55" s="114"/>
      <c r="CF55" s="114"/>
      <c r="CG55" s="102"/>
      <c r="CH55" s="76"/>
      <c r="CI55" s="77">
        <v>1798.4</v>
      </c>
      <c r="CJ55" s="78">
        <v>2519</v>
      </c>
      <c r="CK55" s="78">
        <f t="shared" si="22"/>
        <v>1351</v>
      </c>
      <c r="CL55" s="79" t="str">
        <f t="shared" si="17"/>
        <v>0</v>
      </c>
      <c r="CM55" s="80">
        <f t="shared" si="23"/>
        <v>0</v>
      </c>
      <c r="CN55" s="79">
        <f t="shared" si="24"/>
        <v>1</v>
      </c>
      <c r="CO55" s="80">
        <f t="shared" si="25"/>
        <v>7124</v>
      </c>
      <c r="CP55" s="80">
        <f t="shared" si="30"/>
        <v>1</v>
      </c>
      <c r="CQ55" s="80">
        <f t="shared" si="31"/>
        <v>7124</v>
      </c>
      <c r="CR55" s="81">
        <v>69</v>
      </c>
      <c r="CS55" s="33">
        <v>1</v>
      </c>
      <c r="CT55" s="33">
        <v>0</v>
      </c>
      <c r="CU55" s="33">
        <v>0</v>
      </c>
      <c r="CV55" s="33">
        <v>0</v>
      </c>
      <c r="CW55" s="33">
        <v>2</v>
      </c>
      <c r="CX55" s="33">
        <v>0</v>
      </c>
      <c r="CY55" s="33">
        <v>0</v>
      </c>
      <c r="CZ55" s="33">
        <v>0</v>
      </c>
      <c r="DA55" s="33">
        <v>0</v>
      </c>
      <c r="DB55" s="33">
        <v>133</v>
      </c>
      <c r="DC55" s="33">
        <v>41</v>
      </c>
      <c r="DD55" s="33">
        <v>41</v>
      </c>
      <c r="DE55" s="33">
        <v>41</v>
      </c>
      <c r="DF55" s="33">
        <v>12</v>
      </c>
      <c r="DG55" s="33">
        <v>12</v>
      </c>
      <c r="DH55" s="82" t="str">
        <f t="shared" si="13"/>
        <v>0</v>
      </c>
      <c r="DI55" s="82" t="str">
        <f t="shared" si="14"/>
        <v>0</v>
      </c>
      <c r="DJ55" s="83">
        <f t="shared" si="5"/>
        <v>43.420330794433994</v>
      </c>
    </row>
    <row r="56" spans="1:114" s="17" customFormat="1" ht="15">
      <c r="A56" s="22" t="s">
        <v>109</v>
      </c>
      <c r="B56" s="60">
        <v>50</v>
      </c>
      <c r="C56" s="95" t="s">
        <v>120</v>
      </c>
      <c r="D56" s="105">
        <v>1975</v>
      </c>
      <c r="E56" s="97" t="s">
        <v>132</v>
      </c>
      <c r="F56" s="98" t="s">
        <v>133</v>
      </c>
      <c r="G56" s="106">
        <v>1</v>
      </c>
      <c r="H56" s="107">
        <v>9</v>
      </c>
      <c r="I56" s="97" t="s">
        <v>124</v>
      </c>
      <c r="J56" s="106">
        <v>29680</v>
      </c>
      <c r="K56" s="106">
        <v>1226</v>
      </c>
      <c r="L56" s="106" t="s">
        <v>233</v>
      </c>
      <c r="M56" s="106"/>
      <c r="N56" s="106">
        <v>1246</v>
      </c>
      <c r="O56" s="106">
        <f>335+1</f>
        <v>336</v>
      </c>
      <c r="P56" s="106">
        <f>335+1</f>
        <v>336</v>
      </c>
      <c r="Q56" s="106">
        <v>326</v>
      </c>
      <c r="R56" s="71">
        <v>469</v>
      </c>
      <c r="S56" s="111">
        <f>6413.94+16.53</f>
        <v>6430.469999999999</v>
      </c>
      <c r="T56" s="115">
        <v>4660.24</v>
      </c>
      <c r="U56" s="103">
        <v>108</v>
      </c>
      <c r="V56" s="109">
        <v>2107.099999999999</v>
      </c>
      <c r="W56" s="109">
        <v>1537.2800000000004</v>
      </c>
      <c r="X56" s="71">
        <f t="shared" si="6"/>
        <v>228</v>
      </c>
      <c r="Y56" s="72">
        <f t="shared" si="7"/>
        <v>4323.370000000001</v>
      </c>
      <c r="Z56" s="72">
        <f t="shared" si="8"/>
        <v>3122.959999999999</v>
      </c>
      <c r="AA56" s="110"/>
      <c r="AB56" s="110"/>
      <c r="AC56" s="110"/>
      <c r="AD56" s="72">
        <f t="shared" si="9"/>
        <v>154.26</v>
      </c>
      <c r="AE56" s="111">
        <f t="shared" si="10"/>
        <v>154.26</v>
      </c>
      <c r="AF56" s="112"/>
      <c r="AG56" s="111">
        <f>170.79-16.53</f>
        <v>154.26</v>
      </c>
      <c r="AH56" s="110"/>
      <c r="AI56" s="110"/>
      <c r="AJ56" s="73">
        <f t="shared" si="32"/>
        <v>6584.73</v>
      </c>
      <c r="AK56" s="106"/>
      <c r="AL56" s="106">
        <v>2</v>
      </c>
      <c r="AM56" s="106">
        <v>2</v>
      </c>
      <c r="AN56" s="106">
        <v>1</v>
      </c>
      <c r="AO56" s="106"/>
      <c r="AP56" s="106">
        <v>1</v>
      </c>
      <c r="AQ56" s="106">
        <v>3339</v>
      </c>
      <c r="AR56" s="106"/>
      <c r="AS56" s="106">
        <v>498</v>
      </c>
      <c r="AT56" s="113">
        <v>295</v>
      </c>
      <c r="AU56" s="106">
        <v>1305</v>
      </c>
      <c r="AV56" s="106">
        <v>9331</v>
      </c>
      <c r="AW56" s="106"/>
      <c r="AX56" s="106">
        <v>9331</v>
      </c>
      <c r="AY56" s="106">
        <v>3292</v>
      </c>
      <c r="AZ56" s="106">
        <v>224</v>
      </c>
      <c r="BA56" s="106">
        <v>1186</v>
      </c>
      <c r="BB56" s="106">
        <v>1186</v>
      </c>
      <c r="BC56" s="106">
        <v>54</v>
      </c>
      <c r="BD56" s="106">
        <v>86</v>
      </c>
      <c r="BE56" s="106">
        <v>378</v>
      </c>
      <c r="BF56" s="106">
        <v>1090</v>
      </c>
      <c r="BG56" s="106">
        <v>1</v>
      </c>
      <c r="BH56" s="106">
        <v>8789</v>
      </c>
      <c r="BI56" s="106">
        <v>225</v>
      </c>
      <c r="BJ56" s="106">
        <v>200</v>
      </c>
      <c r="BK56" s="106"/>
      <c r="BL56" s="106"/>
      <c r="BM56" s="106"/>
      <c r="BN56" s="106">
        <f t="shared" si="33"/>
        <v>1</v>
      </c>
      <c r="BO56" s="106">
        <f t="shared" si="34"/>
        <v>6430.469999999999</v>
      </c>
      <c r="BP56" s="106">
        <f t="shared" si="34"/>
        <v>4660.24</v>
      </c>
      <c r="BQ56" s="106"/>
      <c r="BR56" s="106"/>
      <c r="BS56" s="106"/>
      <c r="BT56" s="106"/>
      <c r="BU56" s="106">
        <v>1</v>
      </c>
      <c r="BV56" s="106"/>
      <c r="BW56" s="106"/>
      <c r="BX56" s="106">
        <v>20</v>
      </c>
      <c r="BY56" s="106"/>
      <c r="BZ56" s="114"/>
      <c r="CA56" s="114"/>
      <c r="CB56" s="114"/>
      <c r="CC56" s="114"/>
      <c r="CD56" s="114"/>
      <c r="CE56" s="114"/>
      <c r="CF56" s="114"/>
      <c r="CG56" s="102"/>
      <c r="CH56" s="76"/>
      <c r="CI56" s="77">
        <v>2010.93</v>
      </c>
      <c r="CJ56" s="78">
        <v>3741</v>
      </c>
      <c r="CK56" s="78">
        <f t="shared" si="22"/>
        <v>2515</v>
      </c>
      <c r="CL56" s="79" t="str">
        <f t="shared" si="17"/>
        <v>0</v>
      </c>
      <c r="CM56" s="80">
        <f t="shared" si="23"/>
        <v>0</v>
      </c>
      <c r="CN56" s="79">
        <f t="shared" si="24"/>
        <v>1</v>
      </c>
      <c r="CO56" s="80">
        <f t="shared" si="25"/>
        <v>9331</v>
      </c>
      <c r="CP56" s="80">
        <f t="shared" si="30"/>
        <v>1</v>
      </c>
      <c r="CQ56" s="80">
        <f t="shared" si="31"/>
        <v>9331</v>
      </c>
      <c r="CR56" s="81">
        <f>68+3</f>
        <v>71</v>
      </c>
      <c r="CS56" s="33">
        <v>1</v>
      </c>
      <c r="CT56" s="33">
        <v>0</v>
      </c>
      <c r="CU56" s="33">
        <v>0</v>
      </c>
      <c r="CV56" s="33">
        <v>0</v>
      </c>
      <c r="CW56" s="33">
        <v>2</v>
      </c>
      <c r="CX56" s="33">
        <v>0</v>
      </c>
      <c r="CY56" s="33">
        <v>0</v>
      </c>
      <c r="CZ56" s="33">
        <v>0</v>
      </c>
      <c r="DA56" s="33">
        <v>0</v>
      </c>
      <c r="DB56" s="33">
        <v>103</v>
      </c>
      <c r="DC56" s="33">
        <v>49</v>
      </c>
      <c r="DD56" s="33">
        <v>49</v>
      </c>
      <c r="DE56" s="33">
        <v>55</v>
      </c>
      <c r="DF56" s="33">
        <v>23</v>
      </c>
      <c r="DG56" s="33">
        <v>23</v>
      </c>
      <c r="DH56" s="82">
        <f t="shared" si="13"/>
        <v>1</v>
      </c>
      <c r="DI56" s="82">
        <f t="shared" si="14"/>
        <v>6430.469999999999</v>
      </c>
      <c r="DJ56" s="83">
        <f t="shared" si="5"/>
        <v>67.23256620433656</v>
      </c>
    </row>
    <row r="57" spans="1:114" s="17" customFormat="1" ht="15">
      <c r="A57" s="22" t="s">
        <v>109</v>
      </c>
      <c r="B57" s="60">
        <v>51</v>
      </c>
      <c r="C57" s="95" t="s">
        <v>115</v>
      </c>
      <c r="D57" s="105">
        <v>1974</v>
      </c>
      <c r="E57" s="97" t="s">
        <v>132</v>
      </c>
      <c r="F57" s="98" t="s">
        <v>133</v>
      </c>
      <c r="G57" s="106">
        <v>1</v>
      </c>
      <c r="H57" s="107">
        <v>9</v>
      </c>
      <c r="I57" s="97" t="s">
        <v>124</v>
      </c>
      <c r="J57" s="106">
        <v>29548</v>
      </c>
      <c r="K57" s="106">
        <v>1244</v>
      </c>
      <c r="L57" s="106" t="s">
        <v>234</v>
      </c>
      <c r="M57" s="106">
        <v>1417</v>
      </c>
      <c r="N57" s="106"/>
      <c r="O57" s="106">
        <v>352</v>
      </c>
      <c r="P57" s="106">
        <v>352</v>
      </c>
      <c r="Q57" s="106">
        <v>392</v>
      </c>
      <c r="R57" s="71">
        <v>540</v>
      </c>
      <c r="S57" s="111">
        <v>6721.74</v>
      </c>
      <c r="T57" s="115">
        <v>5091.4</v>
      </c>
      <c r="U57" s="69">
        <v>149</v>
      </c>
      <c r="V57" s="109">
        <v>2853.8899999999976</v>
      </c>
      <c r="W57" s="109">
        <v>2163.1800000000007</v>
      </c>
      <c r="X57" s="71">
        <f t="shared" si="6"/>
        <v>203</v>
      </c>
      <c r="Y57" s="72">
        <f t="shared" si="7"/>
        <v>3867.850000000002</v>
      </c>
      <c r="Z57" s="72">
        <f t="shared" si="8"/>
        <v>2928.219999999999</v>
      </c>
      <c r="AA57" s="110"/>
      <c r="AB57" s="110"/>
      <c r="AC57" s="110"/>
      <c r="AD57" s="72">
        <f t="shared" si="9"/>
        <v>93.63</v>
      </c>
      <c r="AE57" s="111">
        <f t="shared" si="10"/>
        <v>93.63</v>
      </c>
      <c r="AF57" s="112"/>
      <c r="AG57" s="111">
        <v>93.63</v>
      </c>
      <c r="AH57" s="110"/>
      <c r="AI57" s="110"/>
      <c r="AJ57" s="73">
        <f t="shared" si="32"/>
        <v>6815.37</v>
      </c>
      <c r="AK57" s="106"/>
      <c r="AL57" s="106">
        <v>2</v>
      </c>
      <c r="AM57" s="106">
        <v>2</v>
      </c>
      <c r="AN57" s="106">
        <v>1</v>
      </c>
      <c r="AO57" s="106"/>
      <c r="AP57" s="106">
        <v>1</v>
      </c>
      <c r="AQ57" s="106">
        <v>3328</v>
      </c>
      <c r="AR57" s="106"/>
      <c r="AS57" s="106">
        <v>240</v>
      </c>
      <c r="AT57" s="113">
        <v>358</v>
      </c>
      <c r="AU57" s="106">
        <v>1305</v>
      </c>
      <c r="AV57" s="106">
        <v>9331</v>
      </c>
      <c r="AW57" s="106"/>
      <c r="AX57" s="106">
        <v>9331</v>
      </c>
      <c r="AY57" s="106">
        <v>3293</v>
      </c>
      <c r="AZ57" s="106">
        <v>228</v>
      </c>
      <c r="BA57" s="106">
        <v>1177</v>
      </c>
      <c r="BB57" s="106">
        <v>1177</v>
      </c>
      <c r="BC57" s="106">
        <v>60</v>
      </c>
      <c r="BD57" s="106">
        <v>88</v>
      </c>
      <c r="BE57" s="106">
        <v>387</v>
      </c>
      <c r="BF57" s="106">
        <v>1113</v>
      </c>
      <c r="BG57" s="106">
        <v>1</v>
      </c>
      <c r="BH57" s="106">
        <v>8789</v>
      </c>
      <c r="BI57" s="106">
        <v>225</v>
      </c>
      <c r="BJ57" s="106">
        <v>200</v>
      </c>
      <c r="BK57" s="106"/>
      <c r="BL57" s="106"/>
      <c r="BM57" s="106"/>
      <c r="BN57" s="106">
        <f t="shared" si="33"/>
        <v>1</v>
      </c>
      <c r="BO57" s="106">
        <f t="shared" si="34"/>
        <v>6721.74</v>
      </c>
      <c r="BP57" s="106">
        <f t="shared" si="34"/>
        <v>5091.4</v>
      </c>
      <c r="BQ57" s="106"/>
      <c r="BR57" s="106"/>
      <c r="BS57" s="106"/>
      <c r="BT57" s="106"/>
      <c r="BU57" s="106"/>
      <c r="BV57" s="106"/>
      <c r="BW57" s="106"/>
      <c r="BX57" s="106"/>
      <c r="BY57" s="106"/>
      <c r="BZ57" s="114"/>
      <c r="CA57" s="114"/>
      <c r="CB57" s="114"/>
      <c r="CC57" s="114"/>
      <c r="CD57" s="114"/>
      <c r="CE57" s="114"/>
      <c r="CF57" s="114"/>
      <c r="CG57" s="102"/>
      <c r="CH57" s="102"/>
      <c r="CI57" s="77">
        <v>1912.93</v>
      </c>
      <c r="CJ57" s="78">
        <v>2483</v>
      </c>
      <c r="CK57" s="78">
        <f t="shared" si="22"/>
        <v>1239</v>
      </c>
      <c r="CL57" s="79" t="str">
        <f t="shared" si="17"/>
        <v>0</v>
      </c>
      <c r="CM57" s="80">
        <f t="shared" si="23"/>
        <v>0</v>
      </c>
      <c r="CN57" s="79">
        <f t="shared" si="24"/>
        <v>1</v>
      </c>
      <c r="CO57" s="80">
        <f t="shared" si="25"/>
        <v>9331</v>
      </c>
      <c r="CP57" s="80">
        <f t="shared" si="30"/>
        <v>1</v>
      </c>
      <c r="CQ57" s="80">
        <f t="shared" si="31"/>
        <v>9331</v>
      </c>
      <c r="CR57" s="81">
        <f>69+2</f>
        <v>71</v>
      </c>
      <c r="CS57" s="33">
        <v>1</v>
      </c>
      <c r="CT57" s="33">
        <v>0</v>
      </c>
      <c r="CU57" s="33">
        <v>0</v>
      </c>
      <c r="CV57" s="33">
        <v>0</v>
      </c>
      <c r="CW57" s="33">
        <v>2</v>
      </c>
      <c r="CX57" s="33">
        <v>0</v>
      </c>
      <c r="CY57" s="33">
        <v>0</v>
      </c>
      <c r="CZ57" s="33">
        <v>0</v>
      </c>
      <c r="DA57" s="33">
        <v>0</v>
      </c>
      <c r="DB57" s="33">
        <v>55</v>
      </c>
      <c r="DC57" s="33">
        <v>34</v>
      </c>
      <c r="DD57" s="33">
        <v>34</v>
      </c>
      <c r="DE57" s="33">
        <v>26</v>
      </c>
      <c r="DF57" s="33">
        <v>18</v>
      </c>
      <c r="DG57" s="33">
        <v>18</v>
      </c>
      <c r="DH57" s="82">
        <f t="shared" si="13"/>
        <v>1</v>
      </c>
      <c r="DI57" s="82">
        <f t="shared" si="14"/>
        <v>6721.74</v>
      </c>
      <c r="DJ57" s="83">
        <f t="shared" si="5"/>
        <v>57.542392297232595</v>
      </c>
    </row>
    <row r="58" spans="1:114" s="17" customFormat="1" ht="15">
      <c r="A58" s="22" t="s">
        <v>109</v>
      </c>
      <c r="B58" s="60">
        <v>52</v>
      </c>
      <c r="C58" s="95" t="s">
        <v>116</v>
      </c>
      <c r="D58" s="105">
        <v>1970</v>
      </c>
      <c r="E58" s="97" t="s">
        <v>132</v>
      </c>
      <c r="F58" s="98" t="s">
        <v>133</v>
      </c>
      <c r="G58" s="106">
        <v>1</v>
      </c>
      <c r="H58" s="107">
        <v>9</v>
      </c>
      <c r="I58" s="97" t="s">
        <v>124</v>
      </c>
      <c r="J58" s="106">
        <v>28839</v>
      </c>
      <c r="K58" s="106">
        <v>1207</v>
      </c>
      <c r="L58" s="106" t="s">
        <v>235</v>
      </c>
      <c r="M58" s="106"/>
      <c r="N58" s="106">
        <v>1201</v>
      </c>
      <c r="O58" s="106">
        <f>352+1</f>
        <v>353</v>
      </c>
      <c r="P58" s="106">
        <f>352+1</f>
        <v>353</v>
      </c>
      <c r="Q58" s="106">
        <v>363</v>
      </c>
      <c r="R58" s="66">
        <v>605</v>
      </c>
      <c r="S58" s="111">
        <f>6722.6+16.66</f>
        <v>6739.26</v>
      </c>
      <c r="T58" s="115">
        <v>4872.46</v>
      </c>
      <c r="U58" s="69">
        <v>182</v>
      </c>
      <c r="V58" s="109">
        <v>3524.989999999998</v>
      </c>
      <c r="W58" s="109">
        <v>2553.329999999999</v>
      </c>
      <c r="X58" s="71">
        <f t="shared" si="6"/>
        <v>171</v>
      </c>
      <c r="Y58" s="72">
        <f t="shared" si="7"/>
        <v>3214.2700000000023</v>
      </c>
      <c r="Z58" s="72">
        <f t="shared" si="8"/>
        <v>2319.130000000001</v>
      </c>
      <c r="AA58" s="110"/>
      <c r="AB58" s="110"/>
      <c r="AC58" s="110"/>
      <c r="AD58" s="72">
        <f t="shared" si="9"/>
        <v>110.08</v>
      </c>
      <c r="AE58" s="111">
        <f t="shared" si="10"/>
        <v>110.08</v>
      </c>
      <c r="AF58" s="112"/>
      <c r="AG58" s="111">
        <f>126.74-16.66</f>
        <v>110.08</v>
      </c>
      <c r="AH58" s="110"/>
      <c r="AI58" s="110"/>
      <c r="AJ58" s="89">
        <f t="shared" si="32"/>
        <v>6849.34</v>
      </c>
      <c r="AK58" s="106"/>
      <c r="AL58" s="106">
        <v>2</v>
      </c>
      <c r="AM58" s="106">
        <v>2</v>
      </c>
      <c r="AN58" s="106">
        <v>1</v>
      </c>
      <c r="AO58" s="106"/>
      <c r="AP58" s="106">
        <v>1</v>
      </c>
      <c r="AQ58" s="106">
        <v>3339</v>
      </c>
      <c r="AR58" s="106"/>
      <c r="AS58" s="106">
        <v>381</v>
      </c>
      <c r="AT58" s="113">
        <v>258</v>
      </c>
      <c r="AU58" s="106">
        <v>1305</v>
      </c>
      <c r="AV58" s="106">
        <v>9331</v>
      </c>
      <c r="AW58" s="106"/>
      <c r="AX58" s="106">
        <v>9331</v>
      </c>
      <c r="AY58" s="106">
        <v>3265</v>
      </c>
      <c r="AZ58" s="106">
        <v>225</v>
      </c>
      <c r="BA58" s="106">
        <v>1166</v>
      </c>
      <c r="BB58" s="106">
        <v>1166</v>
      </c>
      <c r="BC58" s="106">
        <v>62</v>
      </c>
      <c r="BD58" s="106">
        <v>54</v>
      </c>
      <c r="BE58" s="106">
        <v>402</v>
      </c>
      <c r="BF58" s="106">
        <v>1120</v>
      </c>
      <c r="BG58" s="106">
        <v>1</v>
      </c>
      <c r="BH58" s="106">
        <v>8789</v>
      </c>
      <c r="BI58" s="106">
        <v>225</v>
      </c>
      <c r="BJ58" s="106">
        <v>200</v>
      </c>
      <c r="BK58" s="106"/>
      <c r="BL58" s="106"/>
      <c r="BM58" s="106"/>
      <c r="BN58" s="106">
        <f>G58</f>
        <v>1</v>
      </c>
      <c r="BO58" s="106">
        <f t="shared" si="34"/>
        <v>6739.26</v>
      </c>
      <c r="BP58" s="106">
        <f t="shared" si="34"/>
        <v>4872.46</v>
      </c>
      <c r="BQ58" s="106"/>
      <c r="BR58" s="106"/>
      <c r="BS58" s="106"/>
      <c r="BT58" s="106"/>
      <c r="BU58" s="106">
        <v>1</v>
      </c>
      <c r="BV58" s="106"/>
      <c r="BW58" s="106"/>
      <c r="BX58" s="106"/>
      <c r="BY58" s="106"/>
      <c r="BZ58" s="114"/>
      <c r="CA58" s="114"/>
      <c r="CB58" s="114"/>
      <c r="CC58" s="114"/>
      <c r="CD58" s="114"/>
      <c r="CE58" s="114"/>
      <c r="CF58" s="114"/>
      <c r="CG58" s="102"/>
      <c r="CH58" s="76"/>
      <c r="CI58" s="77">
        <v>1852.3</v>
      </c>
      <c r="CJ58" s="78">
        <v>2472</v>
      </c>
      <c r="CK58" s="78">
        <f t="shared" si="22"/>
        <v>1265</v>
      </c>
      <c r="CL58" s="79" t="str">
        <f t="shared" si="17"/>
        <v>0</v>
      </c>
      <c r="CM58" s="80">
        <f t="shared" si="23"/>
        <v>0</v>
      </c>
      <c r="CN58" s="79">
        <f t="shared" si="24"/>
        <v>1</v>
      </c>
      <c r="CO58" s="80">
        <f t="shared" si="25"/>
        <v>9331</v>
      </c>
      <c r="CP58" s="80">
        <f t="shared" si="30"/>
        <v>1</v>
      </c>
      <c r="CQ58" s="80">
        <f t="shared" si="31"/>
        <v>9331</v>
      </c>
      <c r="CR58" s="81">
        <f>66+5</f>
        <v>71</v>
      </c>
      <c r="CS58" s="33">
        <v>1</v>
      </c>
      <c r="CT58" s="33">
        <v>0</v>
      </c>
      <c r="CU58" s="33">
        <v>0</v>
      </c>
      <c r="CV58" s="33">
        <v>1</v>
      </c>
      <c r="CW58" s="33">
        <v>2</v>
      </c>
      <c r="CX58" s="33">
        <v>0</v>
      </c>
      <c r="CY58" s="33">
        <v>0</v>
      </c>
      <c r="CZ58" s="33">
        <v>1</v>
      </c>
      <c r="DA58" s="33">
        <v>0</v>
      </c>
      <c r="DB58" s="33">
        <v>91</v>
      </c>
      <c r="DC58" s="33">
        <v>66</v>
      </c>
      <c r="DD58" s="33">
        <v>66</v>
      </c>
      <c r="DE58" s="33">
        <v>31</v>
      </c>
      <c r="DF58" s="33">
        <v>22</v>
      </c>
      <c r="DG58" s="33">
        <v>22</v>
      </c>
      <c r="DH58" s="82" t="str">
        <f t="shared" si="13"/>
        <v>0</v>
      </c>
      <c r="DI58" s="82" t="str">
        <f t="shared" si="14"/>
        <v>0</v>
      </c>
      <c r="DJ58" s="83">
        <f t="shared" si="5"/>
        <v>47.694702385721904</v>
      </c>
    </row>
    <row r="59" spans="1:114" s="17" customFormat="1" ht="15">
      <c r="A59" s="22" t="s">
        <v>109</v>
      </c>
      <c r="B59" s="60">
        <v>53</v>
      </c>
      <c r="C59" s="95" t="s">
        <v>117</v>
      </c>
      <c r="D59" s="105">
        <v>1971</v>
      </c>
      <c r="E59" s="97" t="s">
        <v>132</v>
      </c>
      <c r="F59" s="98" t="s">
        <v>133</v>
      </c>
      <c r="G59" s="106">
        <v>1</v>
      </c>
      <c r="H59" s="107">
        <v>9</v>
      </c>
      <c r="I59" s="97" t="s">
        <v>124</v>
      </c>
      <c r="J59" s="106">
        <v>28983</v>
      </c>
      <c r="K59" s="106">
        <v>1217</v>
      </c>
      <c r="L59" s="106" t="s">
        <v>236</v>
      </c>
      <c r="M59" s="106"/>
      <c r="N59" s="106">
        <v>1209</v>
      </c>
      <c r="O59" s="106">
        <f>352+3</f>
        <v>355</v>
      </c>
      <c r="P59" s="106">
        <f>352+3</f>
        <v>355</v>
      </c>
      <c r="Q59" s="106">
        <v>331</v>
      </c>
      <c r="R59" s="66">
        <v>644</v>
      </c>
      <c r="S59" s="111">
        <f>6744.66+55.05</f>
        <v>6799.71</v>
      </c>
      <c r="T59" s="115">
        <v>4927</v>
      </c>
      <c r="U59" s="103">
        <v>177</v>
      </c>
      <c r="V59" s="109">
        <v>3453.629999999998</v>
      </c>
      <c r="W59" s="109">
        <v>2521.3700000000003</v>
      </c>
      <c r="X59" s="71">
        <f t="shared" si="6"/>
        <v>178</v>
      </c>
      <c r="Y59" s="72">
        <f t="shared" si="7"/>
        <v>3346.080000000002</v>
      </c>
      <c r="Z59" s="72">
        <f t="shared" si="8"/>
        <v>2405.6299999999997</v>
      </c>
      <c r="AA59" s="110"/>
      <c r="AB59" s="110"/>
      <c r="AC59" s="110"/>
      <c r="AD59" s="72">
        <f t="shared" si="9"/>
        <v>43.21000000000001</v>
      </c>
      <c r="AE59" s="111">
        <f t="shared" si="10"/>
        <v>43.21000000000001</v>
      </c>
      <c r="AF59" s="112"/>
      <c r="AG59" s="111">
        <f>133.65-55.05-35.39</f>
        <v>43.21000000000001</v>
      </c>
      <c r="AH59" s="110"/>
      <c r="AI59" s="110"/>
      <c r="AJ59" s="73">
        <f t="shared" si="32"/>
        <v>6842.92</v>
      </c>
      <c r="AK59" s="106"/>
      <c r="AL59" s="106">
        <v>2</v>
      </c>
      <c r="AM59" s="106">
        <v>2</v>
      </c>
      <c r="AN59" s="106">
        <v>1</v>
      </c>
      <c r="AO59" s="106"/>
      <c r="AP59" s="106">
        <v>1</v>
      </c>
      <c r="AQ59" s="106">
        <v>4534</v>
      </c>
      <c r="AR59" s="106"/>
      <c r="AS59" s="106">
        <v>231</v>
      </c>
      <c r="AT59" s="113">
        <v>258</v>
      </c>
      <c r="AU59" s="106">
        <v>1305</v>
      </c>
      <c r="AV59" s="106">
        <v>9331</v>
      </c>
      <c r="AW59" s="106"/>
      <c r="AX59" s="106">
        <v>9331</v>
      </c>
      <c r="AY59" s="106">
        <v>3268</v>
      </c>
      <c r="AZ59" s="106">
        <v>225</v>
      </c>
      <c r="BA59" s="106">
        <v>1173</v>
      </c>
      <c r="BB59" s="106">
        <v>1173</v>
      </c>
      <c r="BC59" s="106">
        <v>60</v>
      </c>
      <c r="BD59" s="106">
        <v>93</v>
      </c>
      <c r="BE59" s="106">
        <v>384</v>
      </c>
      <c r="BF59" s="106">
        <v>1119</v>
      </c>
      <c r="BG59" s="106">
        <v>1</v>
      </c>
      <c r="BH59" s="106">
        <v>8789</v>
      </c>
      <c r="BI59" s="106">
        <v>225</v>
      </c>
      <c r="BJ59" s="106">
        <v>200</v>
      </c>
      <c r="BK59" s="106"/>
      <c r="BL59" s="106"/>
      <c r="BM59" s="106"/>
      <c r="BN59" s="106">
        <f>G59</f>
        <v>1</v>
      </c>
      <c r="BO59" s="106">
        <f t="shared" si="34"/>
        <v>6799.71</v>
      </c>
      <c r="BP59" s="106">
        <f t="shared" si="34"/>
        <v>4927</v>
      </c>
      <c r="BQ59" s="106"/>
      <c r="BR59" s="106"/>
      <c r="BS59" s="106"/>
      <c r="BT59" s="106"/>
      <c r="BU59" s="106"/>
      <c r="BV59" s="106"/>
      <c r="BW59" s="106"/>
      <c r="BX59" s="106"/>
      <c r="BY59" s="106"/>
      <c r="BZ59" s="114"/>
      <c r="CA59" s="114"/>
      <c r="CB59" s="114"/>
      <c r="CC59" s="114"/>
      <c r="CD59" s="114"/>
      <c r="CE59" s="114"/>
      <c r="CF59" s="114"/>
      <c r="CG59" s="102"/>
      <c r="CH59" s="76"/>
      <c r="CI59" s="77">
        <v>1887.11</v>
      </c>
      <c r="CJ59" s="78">
        <v>2366</v>
      </c>
      <c r="CK59" s="78">
        <f t="shared" si="22"/>
        <v>1149</v>
      </c>
      <c r="CL59" s="79" t="str">
        <f t="shared" si="17"/>
        <v>0</v>
      </c>
      <c r="CM59" s="80">
        <f t="shared" si="23"/>
        <v>0</v>
      </c>
      <c r="CN59" s="79">
        <f t="shared" si="24"/>
        <v>1</v>
      </c>
      <c r="CO59" s="80">
        <f t="shared" si="25"/>
        <v>9331</v>
      </c>
      <c r="CP59" s="80">
        <f t="shared" si="30"/>
        <v>1</v>
      </c>
      <c r="CQ59" s="80">
        <f t="shared" si="31"/>
        <v>9331</v>
      </c>
      <c r="CR59" s="81">
        <f>62+9</f>
        <v>71</v>
      </c>
      <c r="CS59" s="33">
        <v>1</v>
      </c>
      <c r="CT59" s="33">
        <v>0</v>
      </c>
      <c r="CU59" s="33">
        <v>0</v>
      </c>
      <c r="CV59" s="33">
        <v>1</v>
      </c>
      <c r="CW59" s="33">
        <v>2</v>
      </c>
      <c r="CX59" s="33">
        <v>0</v>
      </c>
      <c r="CY59" s="33">
        <v>0</v>
      </c>
      <c r="CZ59" s="33">
        <v>1</v>
      </c>
      <c r="DA59" s="33">
        <v>0</v>
      </c>
      <c r="DB59" s="33">
        <v>93</v>
      </c>
      <c r="DC59" s="33">
        <v>63</v>
      </c>
      <c r="DD59" s="33">
        <v>63</v>
      </c>
      <c r="DE59" s="33">
        <v>34</v>
      </c>
      <c r="DF59" s="33">
        <v>16</v>
      </c>
      <c r="DG59" s="33">
        <v>16</v>
      </c>
      <c r="DH59" s="82" t="str">
        <f t="shared" si="13"/>
        <v>0</v>
      </c>
      <c r="DI59" s="82" t="str">
        <f t="shared" si="14"/>
        <v>0</v>
      </c>
      <c r="DJ59" s="83">
        <f t="shared" si="5"/>
        <v>49.20915744936185</v>
      </c>
    </row>
    <row r="60" spans="1:114" s="17" customFormat="1" ht="15">
      <c r="A60" s="22" t="s">
        <v>109</v>
      </c>
      <c r="B60" s="60">
        <v>54</v>
      </c>
      <c r="C60" s="95" t="s">
        <v>114</v>
      </c>
      <c r="D60" s="105">
        <v>1971</v>
      </c>
      <c r="E60" s="97" t="s">
        <v>132</v>
      </c>
      <c r="F60" s="98" t="s">
        <v>133</v>
      </c>
      <c r="G60" s="106">
        <v>1</v>
      </c>
      <c r="H60" s="107">
        <v>9</v>
      </c>
      <c r="I60" s="97" t="s">
        <v>124</v>
      </c>
      <c r="J60" s="106">
        <v>28965</v>
      </c>
      <c r="K60" s="106">
        <v>1196</v>
      </c>
      <c r="L60" s="106" t="s">
        <v>237</v>
      </c>
      <c r="M60" s="106">
        <v>1398</v>
      </c>
      <c r="N60" s="106"/>
      <c r="O60" s="106">
        <f>345+3</f>
        <v>348</v>
      </c>
      <c r="P60" s="106">
        <f>345+3</f>
        <v>348</v>
      </c>
      <c r="Q60" s="106">
        <v>379</v>
      </c>
      <c r="R60" s="71">
        <v>485</v>
      </c>
      <c r="S60" s="111">
        <f>6521+59.3</f>
        <v>6580.3</v>
      </c>
      <c r="T60" s="115">
        <v>4770.6</v>
      </c>
      <c r="U60" s="103">
        <v>175</v>
      </c>
      <c r="V60" s="109">
        <v>3405.7000000000016</v>
      </c>
      <c r="W60" s="109">
        <v>2483.7</v>
      </c>
      <c r="X60" s="71">
        <f t="shared" si="6"/>
        <v>173</v>
      </c>
      <c r="Y60" s="72">
        <f t="shared" si="7"/>
        <v>3174.5999999999985</v>
      </c>
      <c r="Z60" s="72">
        <f t="shared" si="8"/>
        <v>2286.9000000000005</v>
      </c>
      <c r="AA60" s="110"/>
      <c r="AB60" s="110"/>
      <c r="AC60" s="110"/>
      <c r="AD60" s="72">
        <f t="shared" si="9"/>
        <v>167.8</v>
      </c>
      <c r="AE60" s="111">
        <f t="shared" si="10"/>
        <v>167.8</v>
      </c>
      <c r="AF60" s="112"/>
      <c r="AG60" s="111">
        <f>227.1-59.3</f>
        <v>167.8</v>
      </c>
      <c r="AH60" s="110"/>
      <c r="AI60" s="110"/>
      <c r="AJ60" s="73">
        <f t="shared" si="32"/>
        <v>6748.1</v>
      </c>
      <c r="AK60" s="106"/>
      <c r="AL60" s="106">
        <v>2</v>
      </c>
      <c r="AM60" s="106">
        <v>2</v>
      </c>
      <c r="AN60" s="106">
        <v>1</v>
      </c>
      <c r="AO60" s="106"/>
      <c r="AP60" s="106">
        <v>1</v>
      </c>
      <c r="AQ60" s="106">
        <v>3335</v>
      </c>
      <c r="AR60" s="106"/>
      <c r="AS60" s="106">
        <v>225</v>
      </c>
      <c r="AT60" s="113">
        <v>275</v>
      </c>
      <c r="AU60" s="106">
        <v>1305</v>
      </c>
      <c r="AV60" s="106">
        <v>9331</v>
      </c>
      <c r="AW60" s="106"/>
      <c r="AX60" s="106">
        <v>9331</v>
      </c>
      <c r="AY60" s="106">
        <v>3260</v>
      </c>
      <c r="AZ60" s="106">
        <v>215</v>
      </c>
      <c r="BA60" s="106">
        <v>1166</v>
      </c>
      <c r="BB60" s="106">
        <v>1166</v>
      </c>
      <c r="BC60" s="106">
        <v>62</v>
      </c>
      <c r="BD60" s="106">
        <v>54</v>
      </c>
      <c r="BE60" s="106">
        <v>402</v>
      </c>
      <c r="BF60" s="106">
        <v>1120</v>
      </c>
      <c r="BG60" s="106">
        <v>1</v>
      </c>
      <c r="BH60" s="106">
        <v>8789</v>
      </c>
      <c r="BI60" s="106">
        <v>225</v>
      </c>
      <c r="BJ60" s="106">
        <v>200</v>
      </c>
      <c r="BK60" s="106"/>
      <c r="BL60" s="106"/>
      <c r="BM60" s="106"/>
      <c r="BN60" s="106">
        <f>G60</f>
        <v>1</v>
      </c>
      <c r="BO60" s="106">
        <f t="shared" si="34"/>
        <v>6580.3</v>
      </c>
      <c r="BP60" s="106">
        <f t="shared" si="34"/>
        <v>4770.6</v>
      </c>
      <c r="BQ60" s="106"/>
      <c r="BR60" s="106"/>
      <c r="BS60" s="106"/>
      <c r="BT60" s="106"/>
      <c r="BU60" s="106">
        <v>1</v>
      </c>
      <c r="BV60" s="106"/>
      <c r="BW60" s="106"/>
      <c r="BX60" s="106"/>
      <c r="BY60" s="106"/>
      <c r="BZ60" s="114"/>
      <c r="CA60" s="114"/>
      <c r="CB60" s="114"/>
      <c r="CC60" s="114"/>
      <c r="CD60" s="114"/>
      <c r="CE60" s="114"/>
      <c r="CF60" s="114"/>
      <c r="CG60" s="102"/>
      <c r="CH60" s="76"/>
      <c r="CI60" s="77">
        <v>1845.67</v>
      </c>
      <c r="CJ60" s="78">
        <v>2386</v>
      </c>
      <c r="CK60" s="78">
        <f t="shared" si="22"/>
        <v>1190</v>
      </c>
      <c r="CL60" s="79" t="str">
        <f t="shared" si="17"/>
        <v>0</v>
      </c>
      <c r="CM60" s="80">
        <f t="shared" si="23"/>
        <v>0</v>
      </c>
      <c r="CN60" s="79">
        <f t="shared" si="24"/>
        <v>1</v>
      </c>
      <c r="CO60" s="80">
        <f t="shared" si="25"/>
        <v>9331</v>
      </c>
      <c r="CP60" s="80">
        <f t="shared" si="30"/>
        <v>1</v>
      </c>
      <c r="CQ60" s="80">
        <f t="shared" si="31"/>
        <v>9331</v>
      </c>
      <c r="CR60" s="81">
        <f>65+6</f>
        <v>71</v>
      </c>
      <c r="CS60" s="33">
        <v>1</v>
      </c>
      <c r="CT60" s="33">
        <v>0</v>
      </c>
      <c r="CU60" s="33">
        <v>0</v>
      </c>
      <c r="CV60" s="33">
        <v>0</v>
      </c>
      <c r="CW60" s="33">
        <v>2</v>
      </c>
      <c r="CX60" s="33">
        <v>0</v>
      </c>
      <c r="CY60" s="33">
        <v>0</v>
      </c>
      <c r="CZ60" s="33">
        <v>0</v>
      </c>
      <c r="DA60" s="33">
        <v>0</v>
      </c>
      <c r="DB60" s="33">
        <v>80</v>
      </c>
      <c r="DC60" s="33">
        <v>51</v>
      </c>
      <c r="DD60" s="33">
        <v>51</v>
      </c>
      <c r="DE60" s="33">
        <v>23</v>
      </c>
      <c r="DF60" s="33">
        <v>15</v>
      </c>
      <c r="DG60" s="33">
        <v>15</v>
      </c>
      <c r="DH60" s="82" t="str">
        <f t="shared" si="13"/>
        <v>0</v>
      </c>
      <c r="DI60" s="82" t="str">
        <f t="shared" si="14"/>
        <v>0</v>
      </c>
      <c r="DJ60" s="83">
        <f t="shared" si="5"/>
        <v>48.24400103338751</v>
      </c>
    </row>
    <row r="61" spans="1:114" s="17" customFormat="1" ht="15">
      <c r="A61" s="22" t="s">
        <v>109</v>
      </c>
      <c r="B61" s="60">
        <v>55</v>
      </c>
      <c r="C61" s="95" t="s">
        <v>122</v>
      </c>
      <c r="D61" s="105">
        <v>1972</v>
      </c>
      <c r="E61" s="97" t="s">
        <v>132</v>
      </c>
      <c r="F61" s="98" t="s">
        <v>133</v>
      </c>
      <c r="G61" s="106">
        <v>1</v>
      </c>
      <c r="H61" s="107">
        <v>9</v>
      </c>
      <c r="I61" s="97" t="s">
        <v>124</v>
      </c>
      <c r="J61" s="106">
        <v>29239</v>
      </c>
      <c r="K61" s="106">
        <v>1214</v>
      </c>
      <c r="L61" s="106" t="s">
        <v>238</v>
      </c>
      <c r="M61" s="106">
        <v>1411</v>
      </c>
      <c r="N61" s="106"/>
      <c r="O61" s="106">
        <f>350+2</f>
        <v>352</v>
      </c>
      <c r="P61" s="106">
        <f>350+2</f>
        <v>352</v>
      </c>
      <c r="Q61" s="106">
        <v>352</v>
      </c>
      <c r="R61" s="71">
        <v>511</v>
      </c>
      <c r="S61" s="111">
        <f>6630.04+37.56</f>
        <v>6667.6</v>
      </c>
      <c r="T61" s="115">
        <v>4837.57</v>
      </c>
      <c r="U61" s="103">
        <v>189</v>
      </c>
      <c r="V61" s="109">
        <v>3660.2199999999993</v>
      </c>
      <c r="W61" s="109">
        <v>2679.2100000000023</v>
      </c>
      <c r="X61" s="71">
        <f t="shared" si="6"/>
        <v>163</v>
      </c>
      <c r="Y61" s="72">
        <f t="shared" si="7"/>
        <v>3007.380000000001</v>
      </c>
      <c r="Z61" s="72">
        <f t="shared" si="8"/>
        <v>2158.3599999999974</v>
      </c>
      <c r="AA61" s="110"/>
      <c r="AB61" s="110"/>
      <c r="AC61" s="110"/>
      <c r="AD61" s="72">
        <f t="shared" si="9"/>
        <v>102.06</v>
      </c>
      <c r="AE61" s="111">
        <f t="shared" si="10"/>
        <v>102.06</v>
      </c>
      <c r="AF61" s="112"/>
      <c r="AG61" s="111">
        <f>139.62-37.56</f>
        <v>102.06</v>
      </c>
      <c r="AH61" s="110"/>
      <c r="AI61" s="110"/>
      <c r="AJ61" s="73">
        <f t="shared" si="32"/>
        <v>6769.660000000001</v>
      </c>
      <c r="AK61" s="106"/>
      <c r="AL61" s="106">
        <v>2</v>
      </c>
      <c r="AM61" s="106">
        <v>2</v>
      </c>
      <c r="AN61" s="106">
        <v>1</v>
      </c>
      <c r="AO61" s="106"/>
      <c r="AP61" s="106">
        <v>1</v>
      </c>
      <c r="AQ61" s="106">
        <v>4643</v>
      </c>
      <c r="AR61" s="106"/>
      <c r="AS61" s="106">
        <v>393</v>
      </c>
      <c r="AT61" s="113">
        <v>275</v>
      </c>
      <c r="AU61" s="106">
        <v>1305</v>
      </c>
      <c r="AV61" s="106">
        <v>9331</v>
      </c>
      <c r="AW61" s="106"/>
      <c r="AX61" s="106">
        <v>9331</v>
      </c>
      <c r="AY61" s="106">
        <v>3302</v>
      </c>
      <c r="AZ61" s="106">
        <v>240</v>
      </c>
      <c r="BA61" s="106">
        <v>1165</v>
      </c>
      <c r="BB61" s="106">
        <v>1165</v>
      </c>
      <c r="BC61" s="106">
        <v>60</v>
      </c>
      <c r="BD61" s="106">
        <v>91</v>
      </c>
      <c r="BE61" s="106">
        <v>384</v>
      </c>
      <c r="BF61" s="106">
        <v>1119</v>
      </c>
      <c r="BG61" s="106">
        <v>1</v>
      </c>
      <c r="BH61" s="106">
        <v>8789</v>
      </c>
      <c r="BI61" s="106">
        <v>225</v>
      </c>
      <c r="BJ61" s="106">
        <v>200</v>
      </c>
      <c r="BK61" s="106"/>
      <c r="BL61" s="106"/>
      <c r="BM61" s="106"/>
      <c r="BN61" s="106">
        <f t="shared" si="33"/>
        <v>1</v>
      </c>
      <c r="BO61" s="106">
        <f t="shared" si="34"/>
        <v>6667.6</v>
      </c>
      <c r="BP61" s="106">
        <f t="shared" si="34"/>
        <v>4837.57</v>
      </c>
      <c r="BQ61" s="106"/>
      <c r="BR61" s="106"/>
      <c r="BS61" s="106"/>
      <c r="BT61" s="106"/>
      <c r="BU61" s="106"/>
      <c r="BV61" s="106"/>
      <c r="BW61" s="106"/>
      <c r="BX61" s="106"/>
      <c r="BY61" s="106"/>
      <c r="BZ61" s="114"/>
      <c r="CA61" s="114"/>
      <c r="CB61" s="114"/>
      <c r="CC61" s="114"/>
      <c r="CD61" s="114"/>
      <c r="CE61" s="114"/>
      <c r="CF61" s="114"/>
      <c r="CG61" s="102"/>
      <c r="CH61" s="76"/>
      <c r="CI61" s="77">
        <v>1646.92</v>
      </c>
      <c r="CJ61" s="78">
        <v>2287</v>
      </c>
      <c r="CK61" s="78">
        <f t="shared" si="22"/>
        <v>1073</v>
      </c>
      <c r="CL61" s="79" t="str">
        <f t="shared" si="17"/>
        <v>0</v>
      </c>
      <c r="CM61" s="80">
        <f t="shared" si="23"/>
        <v>0</v>
      </c>
      <c r="CN61" s="79">
        <f t="shared" si="24"/>
        <v>1</v>
      </c>
      <c r="CO61" s="80">
        <f t="shared" si="25"/>
        <v>9331</v>
      </c>
      <c r="CP61" s="80">
        <f t="shared" si="30"/>
        <v>1</v>
      </c>
      <c r="CQ61" s="80">
        <f t="shared" si="31"/>
        <v>9331</v>
      </c>
      <c r="CR61" s="81">
        <f>61+10</f>
        <v>71</v>
      </c>
      <c r="CS61" s="33">
        <v>1</v>
      </c>
      <c r="CT61" s="33">
        <v>0</v>
      </c>
      <c r="CU61" s="33">
        <v>0</v>
      </c>
      <c r="CV61" s="33">
        <v>0</v>
      </c>
      <c r="CW61" s="33">
        <v>2</v>
      </c>
      <c r="CX61" s="33">
        <v>0</v>
      </c>
      <c r="CY61" s="33">
        <v>0</v>
      </c>
      <c r="CZ61" s="33">
        <v>0</v>
      </c>
      <c r="DA61" s="33">
        <v>0</v>
      </c>
      <c r="DB61" s="33">
        <v>80</v>
      </c>
      <c r="DC61" s="33">
        <v>56</v>
      </c>
      <c r="DD61" s="33">
        <v>56</v>
      </c>
      <c r="DE61" s="33">
        <v>20</v>
      </c>
      <c r="DF61" s="33">
        <v>18</v>
      </c>
      <c r="DG61" s="33">
        <v>18</v>
      </c>
      <c r="DH61" s="82" t="str">
        <f t="shared" si="13"/>
        <v>0</v>
      </c>
      <c r="DI61" s="82" t="str">
        <f t="shared" si="14"/>
        <v>0</v>
      </c>
      <c r="DJ61" s="83">
        <f t="shared" si="5"/>
        <v>45.10438538604596</v>
      </c>
    </row>
    <row r="62" spans="1:114" s="17" customFormat="1" ht="15">
      <c r="A62" s="22" t="s">
        <v>109</v>
      </c>
      <c r="B62" s="60">
        <v>56</v>
      </c>
      <c r="C62" s="95" t="s">
        <v>119</v>
      </c>
      <c r="D62" s="105">
        <v>1972</v>
      </c>
      <c r="E62" s="97" t="s">
        <v>132</v>
      </c>
      <c r="F62" s="98" t="s">
        <v>133</v>
      </c>
      <c r="G62" s="106">
        <v>1</v>
      </c>
      <c r="H62" s="107">
        <v>9</v>
      </c>
      <c r="I62" s="97" t="s">
        <v>124</v>
      </c>
      <c r="J62" s="106">
        <v>28739</v>
      </c>
      <c r="K62" s="106">
        <v>1192</v>
      </c>
      <c r="L62" s="106" t="s">
        <v>239</v>
      </c>
      <c r="M62" s="106">
        <v>1415</v>
      </c>
      <c r="N62" s="106"/>
      <c r="O62" s="106">
        <v>353</v>
      </c>
      <c r="P62" s="106">
        <v>353</v>
      </c>
      <c r="Q62" s="106">
        <v>336</v>
      </c>
      <c r="R62" s="71">
        <v>499</v>
      </c>
      <c r="S62" s="111">
        <v>6752.39</v>
      </c>
      <c r="T62" s="115">
        <v>4883.9</v>
      </c>
      <c r="U62" s="103">
        <v>169</v>
      </c>
      <c r="V62" s="109">
        <v>3237.910000000001</v>
      </c>
      <c r="W62" s="109">
        <v>2343.019999999999</v>
      </c>
      <c r="X62" s="71">
        <f t="shared" si="6"/>
        <v>184</v>
      </c>
      <c r="Y62" s="72">
        <f t="shared" si="7"/>
        <v>3514.479999999999</v>
      </c>
      <c r="Z62" s="72">
        <f t="shared" si="8"/>
        <v>2540.8800000000006</v>
      </c>
      <c r="AA62" s="110"/>
      <c r="AB62" s="110"/>
      <c r="AC62" s="110"/>
      <c r="AD62" s="72">
        <f t="shared" si="9"/>
        <v>87.22</v>
      </c>
      <c r="AE62" s="111">
        <f t="shared" si="10"/>
        <v>87.22</v>
      </c>
      <c r="AF62" s="112"/>
      <c r="AG62" s="111">
        <v>87.22</v>
      </c>
      <c r="AH62" s="110"/>
      <c r="AI62" s="110"/>
      <c r="AJ62" s="73">
        <f t="shared" si="32"/>
        <v>6839.610000000001</v>
      </c>
      <c r="AK62" s="106"/>
      <c r="AL62" s="106">
        <v>2</v>
      </c>
      <c r="AM62" s="106">
        <v>2</v>
      </c>
      <c r="AN62" s="106">
        <v>1</v>
      </c>
      <c r="AO62" s="106"/>
      <c r="AP62" s="106">
        <v>1</v>
      </c>
      <c r="AQ62" s="106">
        <v>4560</v>
      </c>
      <c r="AR62" s="106"/>
      <c r="AS62" s="106">
        <v>231</v>
      </c>
      <c r="AT62" s="113">
        <v>365</v>
      </c>
      <c r="AU62" s="106">
        <v>1305</v>
      </c>
      <c r="AV62" s="106">
        <v>9331</v>
      </c>
      <c r="AW62" s="106"/>
      <c r="AX62" s="106">
        <v>9331</v>
      </c>
      <c r="AY62" s="106">
        <v>3276</v>
      </c>
      <c r="AZ62" s="106">
        <v>223</v>
      </c>
      <c r="BA62" s="106">
        <v>1169</v>
      </c>
      <c r="BB62" s="106">
        <v>1169</v>
      </c>
      <c r="BC62" s="106">
        <v>62</v>
      </c>
      <c r="BD62" s="106">
        <v>54</v>
      </c>
      <c r="BE62" s="106">
        <v>402</v>
      </c>
      <c r="BF62" s="106">
        <v>1120</v>
      </c>
      <c r="BG62" s="106">
        <v>1</v>
      </c>
      <c r="BH62" s="106">
        <v>8789</v>
      </c>
      <c r="BI62" s="106">
        <v>225</v>
      </c>
      <c r="BJ62" s="106">
        <v>200</v>
      </c>
      <c r="BK62" s="106"/>
      <c r="BL62" s="106"/>
      <c r="BM62" s="106"/>
      <c r="BN62" s="106">
        <f t="shared" si="33"/>
        <v>1</v>
      </c>
      <c r="BO62" s="106">
        <f t="shared" si="34"/>
        <v>6752.39</v>
      </c>
      <c r="BP62" s="106">
        <f t="shared" si="34"/>
        <v>4883.9</v>
      </c>
      <c r="BQ62" s="106"/>
      <c r="BR62" s="106"/>
      <c r="BS62" s="106"/>
      <c r="BT62" s="106"/>
      <c r="BU62" s="106"/>
      <c r="BV62" s="106"/>
      <c r="BW62" s="106"/>
      <c r="BX62" s="106"/>
      <c r="BY62" s="106"/>
      <c r="BZ62" s="114"/>
      <c r="CA62" s="114"/>
      <c r="CB62" s="114"/>
      <c r="CC62" s="114"/>
      <c r="CD62" s="114"/>
      <c r="CE62" s="114"/>
      <c r="CF62" s="114"/>
      <c r="CG62" s="102"/>
      <c r="CH62" s="76"/>
      <c r="CI62" s="77">
        <v>1932.88</v>
      </c>
      <c r="CJ62" s="78">
        <v>2270</v>
      </c>
      <c r="CK62" s="78">
        <f t="shared" si="22"/>
        <v>1078</v>
      </c>
      <c r="CL62" s="79" t="str">
        <f t="shared" si="17"/>
        <v>0</v>
      </c>
      <c r="CM62" s="80">
        <f t="shared" si="23"/>
        <v>0</v>
      </c>
      <c r="CN62" s="79">
        <f t="shared" si="24"/>
        <v>1</v>
      </c>
      <c r="CO62" s="80">
        <f t="shared" si="25"/>
        <v>9331</v>
      </c>
      <c r="CP62" s="80">
        <f t="shared" si="30"/>
        <v>1</v>
      </c>
      <c r="CQ62" s="80">
        <f t="shared" si="31"/>
        <v>9331</v>
      </c>
      <c r="CR62" s="81">
        <v>69</v>
      </c>
      <c r="CS62" s="33">
        <v>1</v>
      </c>
      <c r="CT62" s="33">
        <v>0</v>
      </c>
      <c r="CU62" s="33">
        <v>0</v>
      </c>
      <c r="CV62" s="33">
        <v>0</v>
      </c>
      <c r="CW62" s="33">
        <v>1</v>
      </c>
      <c r="CX62" s="33">
        <v>0</v>
      </c>
      <c r="CY62" s="33">
        <v>0</v>
      </c>
      <c r="CZ62" s="33">
        <v>0</v>
      </c>
      <c r="DA62" s="33">
        <v>0</v>
      </c>
      <c r="DB62" s="33">
        <v>78</v>
      </c>
      <c r="DC62" s="33">
        <v>59</v>
      </c>
      <c r="DD62" s="33">
        <v>59</v>
      </c>
      <c r="DE62" s="33">
        <v>26</v>
      </c>
      <c r="DF62" s="33">
        <v>20</v>
      </c>
      <c r="DG62" s="33">
        <v>20</v>
      </c>
      <c r="DH62" s="82">
        <f t="shared" si="13"/>
        <v>1</v>
      </c>
      <c r="DI62" s="82">
        <f t="shared" si="14"/>
        <v>6752.39</v>
      </c>
      <c r="DJ62" s="83">
        <f t="shared" si="5"/>
        <v>52.047941543660826</v>
      </c>
    </row>
    <row r="63" spans="1:114" s="24" customFormat="1" ht="15">
      <c r="A63" s="23" t="s">
        <v>109</v>
      </c>
      <c r="B63" s="60">
        <v>57</v>
      </c>
      <c r="C63" s="95" t="s">
        <v>113</v>
      </c>
      <c r="D63" s="105">
        <v>1965</v>
      </c>
      <c r="E63" s="97" t="s">
        <v>132</v>
      </c>
      <c r="F63" s="95" t="s">
        <v>131</v>
      </c>
      <c r="G63" s="106">
        <v>1</v>
      </c>
      <c r="H63" s="107">
        <v>5</v>
      </c>
      <c r="I63" s="97" t="s">
        <v>125</v>
      </c>
      <c r="J63" s="106">
        <v>13350</v>
      </c>
      <c r="K63" s="106">
        <v>977</v>
      </c>
      <c r="L63" s="106" t="s">
        <v>240</v>
      </c>
      <c r="M63" s="106">
        <v>1122</v>
      </c>
      <c r="N63" s="106"/>
      <c r="O63" s="106">
        <v>128</v>
      </c>
      <c r="P63" s="106">
        <v>128</v>
      </c>
      <c r="Q63" s="106">
        <v>135</v>
      </c>
      <c r="R63" s="71">
        <v>164</v>
      </c>
      <c r="S63" s="111">
        <v>2393.1</v>
      </c>
      <c r="T63" s="115">
        <v>1663.01</v>
      </c>
      <c r="U63" s="103">
        <v>9</v>
      </c>
      <c r="V63" s="109">
        <v>175.7</v>
      </c>
      <c r="W63" s="109">
        <v>118.9</v>
      </c>
      <c r="X63" s="71">
        <f t="shared" si="6"/>
        <v>119</v>
      </c>
      <c r="Y63" s="72">
        <f t="shared" si="7"/>
        <v>2217.4</v>
      </c>
      <c r="Z63" s="72">
        <f t="shared" si="8"/>
        <v>1544.11</v>
      </c>
      <c r="AA63" s="110"/>
      <c r="AB63" s="110"/>
      <c r="AC63" s="110"/>
      <c r="AD63" s="72">
        <f t="shared" si="9"/>
        <v>210.5</v>
      </c>
      <c r="AE63" s="111">
        <f t="shared" si="10"/>
        <v>210.5</v>
      </c>
      <c r="AF63" s="112"/>
      <c r="AG63" s="111">
        <v>210.5</v>
      </c>
      <c r="AH63" s="110"/>
      <c r="AI63" s="110"/>
      <c r="AJ63" s="73">
        <f t="shared" si="32"/>
        <v>2603.6</v>
      </c>
      <c r="AK63" s="106"/>
      <c r="AL63" s="106"/>
      <c r="AM63" s="106">
        <v>3</v>
      </c>
      <c r="AN63" s="106">
        <v>1</v>
      </c>
      <c r="AO63" s="106"/>
      <c r="AP63" s="106">
        <v>1</v>
      </c>
      <c r="AQ63" s="106">
        <v>2433</v>
      </c>
      <c r="AR63" s="106"/>
      <c r="AS63" s="106">
        <v>225</v>
      </c>
      <c r="AT63" s="113">
        <v>299</v>
      </c>
      <c r="AU63" s="106">
        <v>376</v>
      </c>
      <c r="AV63" s="106">
        <v>1891</v>
      </c>
      <c r="AW63" s="106"/>
      <c r="AX63" s="106">
        <v>1891</v>
      </c>
      <c r="AY63" s="106"/>
      <c r="AZ63" s="106">
        <v>121</v>
      </c>
      <c r="BA63" s="106">
        <v>920</v>
      </c>
      <c r="BB63" s="106">
        <v>920</v>
      </c>
      <c r="BC63" s="106">
        <v>14</v>
      </c>
      <c r="BD63" s="106">
        <v>42</v>
      </c>
      <c r="BE63" s="106">
        <v>215</v>
      </c>
      <c r="BF63" s="106">
        <v>670</v>
      </c>
      <c r="BG63" s="106">
        <v>1</v>
      </c>
      <c r="BH63" s="106">
        <v>3932</v>
      </c>
      <c r="BI63" s="106">
        <v>101</v>
      </c>
      <c r="BJ63" s="106"/>
      <c r="BK63" s="106">
        <f>G63</f>
        <v>1</v>
      </c>
      <c r="BL63" s="106">
        <f>S63</f>
        <v>2393.1</v>
      </c>
      <c r="BM63" s="106">
        <f>T63</f>
        <v>1663.01</v>
      </c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>
        <f>AQ63</f>
        <v>2433</v>
      </c>
      <c r="BZ63" s="114"/>
      <c r="CA63" s="114"/>
      <c r="CB63" s="114"/>
      <c r="CC63" s="114"/>
      <c r="CD63" s="114"/>
      <c r="CE63" s="114"/>
      <c r="CF63" s="114"/>
      <c r="CG63" s="102"/>
      <c r="CH63" s="76"/>
      <c r="CI63" s="77">
        <v>601.1</v>
      </c>
      <c r="CJ63" s="78">
        <v>3363</v>
      </c>
      <c r="CK63" s="78">
        <f t="shared" si="22"/>
        <v>2386</v>
      </c>
      <c r="CL63" s="79" t="str">
        <f t="shared" si="17"/>
        <v>0</v>
      </c>
      <c r="CM63" s="80">
        <f t="shared" si="23"/>
        <v>0</v>
      </c>
      <c r="CN63" s="79">
        <f t="shared" si="24"/>
        <v>1</v>
      </c>
      <c r="CO63" s="80">
        <f t="shared" si="25"/>
        <v>1891</v>
      </c>
      <c r="CP63" s="80">
        <f t="shared" si="30"/>
        <v>1</v>
      </c>
      <c r="CQ63" s="80">
        <f t="shared" si="31"/>
        <v>1891</v>
      </c>
      <c r="CR63" s="81">
        <v>47</v>
      </c>
      <c r="CS63" s="33">
        <v>1</v>
      </c>
      <c r="CT63" s="33">
        <v>0</v>
      </c>
      <c r="CU63" s="33">
        <v>0</v>
      </c>
      <c r="CV63" s="33">
        <v>0</v>
      </c>
      <c r="CW63" s="33">
        <v>1</v>
      </c>
      <c r="CX63" s="33">
        <v>0</v>
      </c>
      <c r="CY63" s="33">
        <v>0</v>
      </c>
      <c r="CZ63" s="33">
        <v>0</v>
      </c>
      <c r="DA63" s="33">
        <v>0</v>
      </c>
      <c r="DB63" s="33">
        <v>134</v>
      </c>
      <c r="DC63" s="33">
        <v>1</v>
      </c>
      <c r="DD63" s="33">
        <v>1</v>
      </c>
      <c r="DE63" s="33">
        <v>123</v>
      </c>
      <c r="DF63" s="33">
        <v>0</v>
      </c>
      <c r="DG63" s="33">
        <v>0</v>
      </c>
      <c r="DH63" s="82">
        <f t="shared" si="13"/>
        <v>1</v>
      </c>
      <c r="DI63" s="82">
        <f t="shared" si="14"/>
        <v>2393.1</v>
      </c>
      <c r="DJ63" s="83">
        <f t="shared" si="5"/>
        <v>92.65805858509883</v>
      </c>
    </row>
    <row r="64" spans="1:114" s="17" customFormat="1" ht="15">
      <c r="A64" s="22" t="s">
        <v>109</v>
      </c>
      <c r="B64" s="60">
        <v>58</v>
      </c>
      <c r="C64" s="95" t="s">
        <v>121</v>
      </c>
      <c r="D64" s="105">
        <v>1978</v>
      </c>
      <c r="E64" s="97" t="s">
        <v>132</v>
      </c>
      <c r="F64" s="98" t="s">
        <v>133</v>
      </c>
      <c r="G64" s="106">
        <v>1</v>
      </c>
      <c r="H64" s="107">
        <v>9</v>
      </c>
      <c r="I64" s="97" t="s">
        <v>124</v>
      </c>
      <c r="J64" s="106">
        <v>28812</v>
      </c>
      <c r="K64" s="106">
        <v>1226</v>
      </c>
      <c r="L64" s="106" t="s">
        <v>241</v>
      </c>
      <c r="M64" s="106">
        <v>1398</v>
      </c>
      <c r="N64" s="106"/>
      <c r="O64" s="106">
        <f>318+1</f>
        <v>319</v>
      </c>
      <c r="P64" s="106">
        <f>318+1</f>
        <v>319</v>
      </c>
      <c r="Q64" s="106">
        <v>328</v>
      </c>
      <c r="R64" s="71">
        <v>534</v>
      </c>
      <c r="S64" s="111">
        <f>6140.77+16.29</f>
        <v>6157.06</v>
      </c>
      <c r="T64" s="115">
        <v>4408.61</v>
      </c>
      <c r="U64" s="103">
        <v>155</v>
      </c>
      <c r="V64" s="109">
        <v>3003.489999999998</v>
      </c>
      <c r="W64" s="109">
        <v>2153.359999999999</v>
      </c>
      <c r="X64" s="71">
        <f t="shared" si="6"/>
        <v>164</v>
      </c>
      <c r="Y64" s="72">
        <f t="shared" si="7"/>
        <v>3153.5700000000024</v>
      </c>
      <c r="Z64" s="72">
        <f t="shared" si="8"/>
        <v>2255.2500000000005</v>
      </c>
      <c r="AA64" s="110"/>
      <c r="AB64" s="110"/>
      <c r="AC64" s="110"/>
      <c r="AD64" s="72">
        <f t="shared" si="9"/>
        <v>64.53</v>
      </c>
      <c r="AE64" s="111">
        <f t="shared" si="10"/>
        <v>64.53</v>
      </c>
      <c r="AF64" s="112"/>
      <c r="AG64" s="111">
        <f>97.38-16.29-16.56</f>
        <v>64.53</v>
      </c>
      <c r="AH64" s="110"/>
      <c r="AI64" s="110"/>
      <c r="AJ64" s="89">
        <f t="shared" si="32"/>
        <v>6221.59</v>
      </c>
      <c r="AK64" s="106"/>
      <c r="AL64" s="106">
        <v>2</v>
      </c>
      <c r="AM64" s="106">
        <v>2</v>
      </c>
      <c r="AN64" s="106">
        <v>1</v>
      </c>
      <c r="AO64" s="106"/>
      <c r="AP64" s="106">
        <v>1</v>
      </c>
      <c r="AQ64" s="106">
        <v>4300</v>
      </c>
      <c r="AR64" s="106"/>
      <c r="AS64" s="106">
        <v>360</v>
      </c>
      <c r="AT64" s="113">
        <v>384</v>
      </c>
      <c r="AU64" s="106">
        <v>1305</v>
      </c>
      <c r="AV64" s="106">
        <v>9331</v>
      </c>
      <c r="AW64" s="106"/>
      <c r="AX64" s="106">
        <v>9331</v>
      </c>
      <c r="AY64" s="106">
        <v>3263</v>
      </c>
      <c r="AZ64" s="106">
        <v>224</v>
      </c>
      <c r="BA64" s="106">
        <v>1187</v>
      </c>
      <c r="BB64" s="106">
        <v>1187</v>
      </c>
      <c r="BC64" s="106">
        <v>70</v>
      </c>
      <c r="BD64" s="106">
        <v>54</v>
      </c>
      <c r="BE64" s="106">
        <v>386</v>
      </c>
      <c r="BF64" s="106">
        <v>1077</v>
      </c>
      <c r="BG64" s="106">
        <v>1</v>
      </c>
      <c r="BH64" s="106">
        <v>8789</v>
      </c>
      <c r="BI64" s="106">
        <v>225</v>
      </c>
      <c r="BJ64" s="106">
        <v>200</v>
      </c>
      <c r="BK64" s="106"/>
      <c r="BL64" s="106"/>
      <c r="BM64" s="106"/>
      <c r="BN64" s="106">
        <f>G64</f>
        <v>1</v>
      </c>
      <c r="BO64" s="106">
        <f>S64</f>
        <v>6157.06</v>
      </c>
      <c r="BP64" s="106">
        <f>T64</f>
        <v>4408.61</v>
      </c>
      <c r="BQ64" s="106"/>
      <c r="BR64" s="106"/>
      <c r="BS64" s="106"/>
      <c r="BT64" s="106"/>
      <c r="BU64" s="106"/>
      <c r="BV64" s="106"/>
      <c r="BW64" s="106"/>
      <c r="BX64" s="106">
        <v>20</v>
      </c>
      <c r="BY64" s="106"/>
      <c r="BZ64" s="114"/>
      <c r="CA64" s="114"/>
      <c r="CB64" s="114"/>
      <c r="CC64" s="114"/>
      <c r="CD64" s="114"/>
      <c r="CE64" s="114"/>
      <c r="CF64" s="114"/>
      <c r="CG64" s="102"/>
      <c r="CH64" s="76"/>
      <c r="CI64" s="77">
        <v>1791.72</v>
      </c>
      <c r="CJ64" s="78">
        <v>3048</v>
      </c>
      <c r="CK64" s="78">
        <f t="shared" si="22"/>
        <v>1822</v>
      </c>
      <c r="CL64" s="79" t="str">
        <f t="shared" si="17"/>
        <v>0</v>
      </c>
      <c r="CM64" s="80">
        <f t="shared" si="23"/>
        <v>0</v>
      </c>
      <c r="CN64" s="79">
        <f t="shared" si="24"/>
        <v>1</v>
      </c>
      <c r="CO64" s="80">
        <f t="shared" si="25"/>
        <v>9331</v>
      </c>
      <c r="CP64" s="80">
        <f t="shared" si="30"/>
        <v>1</v>
      </c>
      <c r="CQ64" s="80">
        <f t="shared" si="31"/>
        <v>9331</v>
      </c>
      <c r="CR64" s="81">
        <v>69</v>
      </c>
      <c r="CS64" s="33">
        <v>1</v>
      </c>
      <c r="CT64" s="33">
        <v>0</v>
      </c>
      <c r="CU64" s="33">
        <v>0</v>
      </c>
      <c r="CV64" s="33">
        <v>1</v>
      </c>
      <c r="CW64" s="33">
        <v>2</v>
      </c>
      <c r="CX64" s="33">
        <v>0</v>
      </c>
      <c r="CY64" s="33">
        <v>0</v>
      </c>
      <c r="CZ64" s="33">
        <v>1</v>
      </c>
      <c r="DA64" s="33">
        <v>0</v>
      </c>
      <c r="DB64" s="33">
        <v>134</v>
      </c>
      <c r="DC64" s="33">
        <v>73</v>
      </c>
      <c r="DD64" s="33">
        <v>73</v>
      </c>
      <c r="DE64" s="33">
        <v>52</v>
      </c>
      <c r="DF64" s="33">
        <v>29</v>
      </c>
      <c r="DG64" s="33">
        <v>29</v>
      </c>
      <c r="DH64" s="82">
        <f t="shared" si="13"/>
        <v>1</v>
      </c>
      <c r="DI64" s="82">
        <f t="shared" si="14"/>
        <v>6157.06</v>
      </c>
      <c r="DJ64" s="83">
        <f t="shared" si="5"/>
        <v>51.21876350076177</v>
      </c>
    </row>
    <row r="65" spans="1:114" s="24" customFormat="1" ht="15">
      <c r="A65" s="23" t="s">
        <v>109</v>
      </c>
      <c r="B65" s="60">
        <v>59</v>
      </c>
      <c r="C65" s="95" t="s">
        <v>118</v>
      </c>
      <c r="D65" s="105">
        <v>1964</v>
      </c>
      <c r="E65" s="97" t="s">
        <v>132</v>
      </c>
      <c r="F65" s="95" t="s">
        <v>131</v>
      </c>
      <c r="G65" s="106">
        <v>1</v>
      </c>
      <c r="H65" s="107">
        <v>5</v>
      </c>
      <c r="I65" s="97" t="s">
        <v>125</v>
      </c>
      <c r="J65" s="106">
        <v>14301</v>
      </c>
      <c r="K65" s="106">
        <v>1023</v>
      </c>
      <c r="L65" s="106" t="s">
        <v>242</v>
      </c>
      <c r="M65" s="106">
        <v>1182</v>
      </c>
      <c r="N65" s="106"/>
      <c r="O65" s="106">
        <v>71</v>
      </c>
      <c r="P65" s="106">
        <v>71</v>
      </c>
      <c r="Q65" s="106">
        <v>16</v>
      </c>
      <c r="R65" s="71">
        <v>16</v>
      </c>
      <c r="S65" s="111">
        <v>1145.84</v>
      </c>
      <c r="T65" s="115">
        <v>1145.84</v>
      </c>
      <c r="U65" s="116">
        <v>1</v>
      </c>
      <c r="V65" s="109">
        <v>13.3</v>
      </c>
      <c r="W65" s="109">
        <v>13.3</v>
      </c>
      <c r="X65" s="71">
        <f>O65-U65-AA65</f>
        <v>70</v>
      </c>
      <c r="Y65" s="72">
        <f t="shared" si="7"/>
        <v>1132.54</v>
      </c>
      <c r="Z65" s="72">
        <f t="shared" si="8"/>
        <v>1132.54</v>
      </c>
      <c r="AA65" s="110"/>
      <c r="AB65" s="110"/>
      <c r="AC65" s="110"/>
      <c r="AD65" s="72">
        <f t="shared" si="9"/>
        <v>1670.13</v>
      </c>
      <c r="AE65" s="111">
        <f t="shared" si="10"/>
        <v>702.83</v>
      </c>
      <c r="AF65" s="112"/>
      <c r="AG65" s="111">
        <f>708.6-5.77</f>
        <v>702.83</v>
      </c>
      <c r="AH65" s="110">
        <f>961.53+5.77</f>
        <v>967.3</v>
      </c>
      <c r="AI65" s="110"/>
      <c r="AJ65" s="73">
        <f t="shared" si="32"/>
        <v>2815.9700000000003</v>
      </c>
      <c r="AK65" s="106"/>
      <c r="AL65" s="106"/>
      <c r="AM65" s="106">
        <v>2</v>
      </c>
      <c r="AN65" s="106">
        <v>1</v>
      </c>
      <c r="AO65" s="106"/>
      <c r="AP65" s="106">
        <v>1</v>
      </c>
      <c r="AQ65" s="106">
        <v>2060</v>
      </c>
      <c r="AR65" s="106"/>
      <c r="AS65" s="106">
        <v>306</v>
      </c>
      <c r="AT65" s="113">
        <v>270</v>
      </c>
      <c r="AU65" s="106">
        <v>582</v>
      </c>
      <c r="AV65" s="106">
        <v>2093</v>
      </c>
      <c r="AW65" s="106"/>
      <c r="AX65" s="106">
        <v>2093</v>
      </c>
      <c r="AY65" s="106"/>
      <c r="AZ65" s="106">
        <v>114</v>
      </c>
      <c r="BA65" s="106">
        <v>1000</v>
      </c>
      <c r="BB65" s="106">
        <v>1000</v>
      </c>
      <c r="BC65" s="106">
        <v>27</v>
      </c>
      <c r="BD65" s="106">
        <v>19</v>
      </c>
      <c r="BE65" s="106">
        <v>195</v>
      </c>
      <c r="BF65" s="106">
        <v>257</v>
      </c>
      <c r="BG65" s="106">
        <v>1</v>
      </c>
      <c r="BH65" s="106">
        <v>3932</v>
      </c>
      <c r="BI65" s="106">
        <v>101</v>
      </c>
      <c r="BJ65" s="106"/>
      <c r="BK65" s="106">
        <f>G65</f>
        <v>1</v>
      </c>
      <c r="BL65" s="106">
        <f>S65</f>
        <v>1145.84</v>
      </c>
      <c r="BM65" s="106">
        <f>T65</f>
        <v>1145.84</v>
      </c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>
        <f>AQ65</f>
        <v>2060</v>
      </c>
      <c r="BZ65" s="114"/>
      <c r="CA65" s="114"/>
      <c r="CB65" s="114"/>
      <c r="CC65" s="114"/>
      <c r="CD65" s="114"/>
      <c r="CE65" s="114"/>
      <c r="CF65" s="114"/>
      <c r="CG65" s="102"/>
      <c r="CH65" s="76"/>
      <c r="CI65" s="117">
        <v>847.27</v>
      </c>
      <c r="CJ65" s="78">
        <v>2692</v>
      </c>
      <c r="CK65" s="78">
        <f t="shared" si="22"/>
        <v>1669</v>
      </c>
      <c r="CL65" s="79" t="str">
        <f t="shared" si="17"/>
        <v>0</v>
      </c>
      <c r="CM65" s="80">
        <f t="shared" si="23"/>
        <v>0</v>
      </c>
      <c r="CN65" s="79">
        <f t="shared" si="24"/>
        <v>1</v>
      </c>
      <c r="CO65" s="80">
        <f t="shared" si="25"/>
        <v>2093</v>
      </c>
      <c r="CP65" s="80">
        <f t="shared" si="30"/>
        <v>1</v>
      </c>
      <c r="CQ65" s="80">
        <f t="shared" si="31"/>
        <v>2093</v>
      </c>
      <c r="CR65" s="81">
        <v>45</v>
      </c>
      <c r="CS65" s="34">
        <v>1</v>
      </c>
      <c r="CT65" s="34">
        <v>0</v>
      </c>
      <c r="CU65" s="34">
        <v>0</v>
      </c>
      <c r="CV65" s="34">
        <v>0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4</v>
      </c>
      <c r="DC65" s="34">
        <v>0</v>
      </c>
      <c r="DD65" s="34">
        <v>0</v>
      </c>
      <c r="DE65" s="34">
        <v>2</v>
      </c>
      <c r="DF65" s="34">
        <v>0</v>
      </c>
      <c r="DG65" s="34">
        <v>0</v>
      </c>
      <c r="DH65" s="82">
        <f t="shared" si="13"/>
        <v>1</v>
      </c>
      <c r="DI65" s="82">
        <f t="shared" si="14"/>
        <v>1145.84</v>
      </c>
      <c r="DJ65" s="83">
        <f t="shared" si="5"/>
        <v>98.83927948055575</v>
      </c>
    </row>
    <row r="66" spans="1:114" ht="12.75" hidden="1" outlineLevel="1">
      <c r="A66" s="5"/>
      <c r="B66" s="118"/>
      <c r="C66" s="119"/>
      <c r="D66" s="120"/>
      <c r="E66" s="121"/>
      <c r="F66" s="121"/>
      <c r="G66" s="122"/>
      <c r="H66" s="121"/>
      <c r="I66" s="63"/>
      <c r="J66" s="123"/>
      <c r="K66" s="123"/>
      <c r="L66" s="123"/>
      <c r="M66" s="123"/>
      <c r="N66" s="123"/>
      <c r="O66" s="123"/>
      <c r="P66" s="123"/>
      <c r="Q66" s="123"/>
      <c r="R66" s="123"/>
      <c r="S66" s="124"/>
      <c r="T66" s="124"/>
      <c r="U66" s="123"/>
      <c r="V66" s="125"/>
      <c r="W66" s="125"/>
      <c r="X66" s="126"/>
      <c r="Y66" s="127"/>
      <c r="Z66" s="127"/>
      <c r="AA66" s="127"/>
      <c r="AB66" s="127"/>
      <c r="AC66" s="127"/>
      <c r="AD66" s="127"/>
      <c r="AE66" s="124"/>
      <c r="AF66" s="128"/>
      <c r="AG66" s="128"/>
      <c r="AH66" s="128"/>
      <c r="AI66" s="128"/>
      <c r="AJ66" s="7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9"/>
      <c r="CA66" s="129"/>
      <c r="CB66" s="129"/>
      <c r="CC66" s="129"/>
      <c r="CD66" s="129"/>
      <c r="CE66" s="129"/>
      <c r="CF66" s="129"/>
      <c r="CG66" s="37"/>
      <c r="CH66" s="42"/>
      <c r="CI66" s="43"/>
      <c r="CJ66" s="37"/>
      <c r="CK66" s="37"/>
      <c r="CL66" s="37"/>
      <c r="CM66" s="37"/>
      <c r="CN66" s="37"/>
      <c r="CO66" s="37"/>
      <c r="CP66" s="37"/>
      <c r="CQ66" s="37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44"/>
    </row>
    <row r="67" spans="1:114" ht="12.75" hidden="1" outlineLevel="1">
      <c r="A67" s="4"/>
      <c r="B67" s="130"/>
      <c r="C67" s="52"/>
      <c r="D67" s="52"/>
      <c r="E67" s="52"/>
      <c r="F67" s="52"/>
      <c r="G67" s="52"/>
      <c r="H67" s="130"/>
      <c r="I67" s="130"/>
      <c r="J67" s="52"/>
      <c r="K67" s="52"/>
      <c r="L67" s="52"/>
      <c r="M67" s="52"/>
      <c r="N67" s="52"/>
      <c r="O67" s="52"/>
      <c r="P67" s="52"/>
      <c r="Q67" s="52"/>
      <c r="R67" s="52"/>
      <c r="S67" s="131"/>
      <c r="T67" s="131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131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130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37"/>
      <c r="CA67" s="37"/>
      <c r="CB67" s="37"/>
      <c r="CC67" s="37"/>
      <c r="CD67" s="37"/>
      <c r="CE67" s="37"/>
      <c r="CF67" s="37"/>
      <c r="CG67" s="37"/>
      <c r="CH67" s="42"/>
      <c r="CI67" s="43"/>
      <c r="CJ67" s="37"/>
      <c r="CK67" s="37"/>
      <c r="CL67" s="37"/>
      <c r="CM67" s="37"/>
      <c r="CN67" s="37"/>
      <c r="CO67" s="37"/>
      <c r="CP67" s="37"/>
      <c r="CQ67" s="37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44"/>
    </row>
    <row r="68" spans="1:114" ht="12.75" hidden="1" outlineLevel="1">
      <c r="A68" s="4"/>
      <c r="B68" s="130"/>
      <c r="C68" s="52"/>
      <c r="D68" s="52"/>
      <c r="E68" s="52"/>
      <c r="F68" s="52"/>
      <c r="G68" s="52"/>
      <c r="H68" s="130"/>
      <c r="I68" s="130"/>
      <c r="J68" s="52"/>
      <c r="K68" s="52"/>
      <c r="L68" s="52"/>
      <c r="M68" s="52"/>
      <c r="N68" s="52"/>
      <c r="O68" s="52"/>
      <c r="P68" s="52"/>
      <c r="Q68" s="52"/>
      <c r="R68" s="52"/>
      <c r="S68" s="131"/>
      <c r="T68" s="131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31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130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37"/>
      <c r="CA68" s="37"/>
      <c r="CB68" s="37"/>
      <c r="CC68" s="37"/>
      <c r="CD68" s="37"/>
      <c r="CE68" s="37"/>
      <c r="CF68" s="37"/>
      <c r="CG68" s="37"/>
      <c r="CH68" s="42"/>
      <c r="CI68" s="43"/>
      <c r="CJ68" s="37"/>
      <c r="CK68" s="37"/>
      <c r="CL68" s="37"/>
      <c r="CM68" s="37"/>
      <c r="CN68" s="37"/>
      <c r="CO68" s="37"/>
      <c r="CP68" s="37"/>
      <c r="CQ68" s="37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44"/>
    </row>
    <row r="69" spans="1:114" ht="12.75" hidden="1" outlineLevel="1">
      <c r="A69" s="4"/>
      <c r="B69" s="130"/>
      <c r="C69" s="52"/>
      <c r="D69" s="52"/>
      <c r="E69" s="52"/>
      <c r="F69" s="52"/>
      <c r="G69" s="52"/>
      <c r="H69" s="130"/>
      <c r="I69" s="130"/>
      <c r="J69" s="52"/>
      <c r="K69" s="52"/>
      <c r="L69" s="52"/>
      <c r="M69" s="52"/>
      <c r="N69" s="52"/>
      <c r="O69" s="52"/>
      <c r="P69" s="52"/>
      <c r="Q69" s="52"/>
      <c r="R69" s="52"/>
      <c r="S69" s="131"/>
      <c r="T69" s="131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131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130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37"/>
      <c r="CA69" s="37"/>
      <c r="CB69" s="37"/>
      <c r="CC69" s="37"/>
      <c r="CD69" s="37"/>
      <c r="CE69" s="37"/>
      <c r="CF69" s="37"/>
      <c r="CG69" s="37"/>
      <c r="CH69" s="42"/>
      <c r="CI69" s="43"/>
      <c r="CJ69" s="37"/>
      <c r="CK69" s="37"/>
      <c r="CL69" s="37"/>
      <c r="CM69" s="37"/>
      <c r="CN69" s="37"/>
      <c r="CO69" s="37"/>
      <c r="CP69" s="37"/>
      <c r="CQ69" s="37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44"/>
    </row>
    <row r="70" spans="1:114" ht="12.75" hidden="1" outlineLevel="1">
      <c r="A70" s="4"/>
      <c r="B70" s="130"/>
      <c r="C70" s="52"/>
      <c r="D70" s="52"/>
      <c r="E70" s="52"/>
      <c r="F70" s="52"/>
      <c r="G70" s="52"/>
      <c r="H70" s="130"/>
      <c r="I70" s="130"/>
      <c r="J70" s="52"/>
      <c r="K70" s="52"/>
      <c r="L70" s="52"/>
      <c r="M70" s="52"/>
      <c r="N70" s="52"/>
      <c r="O70" s="52"/>
      <c r="P70" s="52"/>
      <c r="Q70" s="52"/>
      <c r="R70" s="52"/>
      <c r="S70" s="131"/>
      <c r="T70" s="131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131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130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37"/>
      <c r="CA70" s="37"/>
      <c r="CB70" s="37"/>
      <c r="CC70" s="37"/>
      <c r="CD70" s="37"/>
      <c r="CE70" s="37"/>
      <c r="CF70" s="37"/>
      <c r="CG70" s="37"/>
      <c r="CH70" s="42"/>
      <c r="CI70" s="43"/>
      <c r="CJ70" s="37"/>
      <c r="CK70" s="37"/>
      <c r="CL70" s="37"/>
      <c r="CM70" s="37"/>
      <c r="CN70" s="37"/>
      <c r="CO70" s="37"/>
      <c r="CP70" s="37"/>
      <c r="CQ70" s="37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44"/>
    </row>
    <row r="71" spans="1:114" ht="12.75" hidden="1" outlineLevel="1">
      <c r="A71" s="4"/>
      <c r="B71" s="130"/>
      <c r="C71" s="52"/>
      <c r="D71" s="52"/>
      <c r="E71" s="52"/>
      <c r="F71" s="52"/>
      <c r="G71" s="52"/>
      <c r="H71" s="130"/>
      <c r="I71" s="130"/>
      <c r="J71" s="52"/>
      <c r="K71" s="52"/>
      <c r="L71" s="52"/>
      <c r="M71" s="52"/>
      <c r="N71" s="52"/>
      <c r="O71" s="52"/>
      <c r="P71" s="52"/>
      <c r="Q71" s="52"/>
      <c r="R71" s="52"/>
      <c r="S71" s="131"/>
      <c r="T71" s="131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131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130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37"/>
      <c r="CA71" s="37"/>
      <c r="CB71" s="37"/>
      <c r="CC71" s="37"/>
      <c r="CD71" s="37"/>
      <c r="CE71" s="37"/>
      <c r="CF71" s="37"/>
      <c r="CG71" s="37"/>
      <c r="CH71" s="42"/>
      <c r="CI71" s="43"/>
      <c r="CJ71" s="37"/>
      <c r="CK71" s="37"/>
      <c r="CL71" s="37"/>
      <c r="CM71" s="37"/>
      <c r="CN71" s="37"/>
      <c r="CO71" s="37"/>
      <c r="CP71" s="37"/>
      <c r="CQ71" s="37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44"/>
    </row>
    <row r="72" spans="1:114" ht="12.75" hidden="1" outlineLevel="1">
      <c r="A72" s="4"/>
      <c r="B72" s="130"/>
      <c r="C72" s="52"/>
      <c r="D72" s="52"/>
      <c r="E72" s="52"/>
      <c r="F72" s="52"/>
      <c r="G72" s="52"/>
      <c r="H72" s="130"/>
      <c r="I72" s="130"/>
      <c r="J72" s="52"/>
      <c r="K72" s="52"/>
      <c r="L72" s="52"/>
      <c r="M72" s="52"/>
      <c r="N72" s="52"/>
      <c r="O72" s="52"/>
      <c r="P72" s="52"/>
      <c r="Q72" s="52"/>
      <c r="R72" s="52"/>
      <c r="S72" s="131"/>
      <c r="T72" s="131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131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130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37"/>
      <c r="CA72" s="37"/>
      <c r="CB72" s="37"/>
      <c r="CC72" s="37"/>
      <c r="CD72" s="37"/>
      <c r="CE72" s="37"/>
      <c r="CF72" s="37"/>
      <c r="CG72" s="37"/>
      <c r="CH72" s="42"/>
      <c r="CI72" s="43"/>
      <c r="CJ72" s="37"/>
      <c r="CK72" s="37"/>
      <c r="CL72" s="37"/>
      <c r="CM72" s="37"/>
      <c r="CN72" s="37"/>
      <c r="CO72" s="37"/>
      <c r="CP72" s="37"/>
      <c r="CQ72" s="37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44"/>
    </row>
    <row r="73" spans="1:114" ht="12.75" hidden="1" outlineLevel="1">
      <c r="A73" s="4"/>
      <c r="B73" s="130"/>
      <c r="C73" s="52"/>
      <c r="D73" s="52"/>
      <c r="E73" s="52"/>
      <c r="F73" s="52"/>
      <c r="G73" s="52"/>
      <c r="H73" s="130"/>
      <c r="I73" s="130"/>
      <c r="J73" s="52"/>
      <c r="K73" s="52"/>
      <c r="L73" s="52"/>
      <c r="M73" s="52"/>
      <c r="N73" s="52"/>
      <c r="O73" s="52"/>
      <c r="P73" s="52"/>
      <c r="Q73" s="52"/>
      <c r="R73" s="52"/>
      <c r="S73" s="131"/>
      <c r="T73" s="131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131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130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37"/>
      <c r="CA73" s="37"/>
      <c r="CB73" s="37"/>
      <c r="CC73" s="37"/>
      <c r="CD73" s="37"/>
      <c r="CE73" s="37"/>
      <c r="CF73" s="37"/>
      <c r="CG73" s="37"/>
      <c r="CH73" s="42"/>
      <c r="CI73" s="43"/>
      <c r="CJ73" s="37"/>
      <c r="CK73" s="37"/>
      <c r="CL73" s="37"/>
      <c r="CM73" s="37"/>
      <c r="CN73" s="37"/>
      <c r="CO73" s="37"/>
      <c r="CP73" s="37"/>
      <c r="CQ73" s="37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44"/>
    </row>
    <row r="74" spans="1:114" ht="12.75" hidden="1" outlineLevel="1">
      <c r="A74" s="4"/>
      <c r="B74" s="130"/>
      <c r="C74" s="52"/>
      <c r="D74" s="52"/>
      <c r="E74" s="52"/>
      <c r="F74" s="52"/>
      <c r="G74" s="52"/>
      <c r="H74" s="130"/>
      <c r="I74" s="130"/>
      <c r="J74" s="52"/>
      <c r="K74" s="52"/>
      <c r="L74" s="52"/>
      <c r="M74" s="52"/>
      <c r="N74" s="52"/>
      <c r="O74" s="52"/>
      <c r="P74" s="52"/>
      <c r="Q74" s="52"/>
      <c r="R74" s="52"/>
      <c r="S74" s="131"/>
      <c r="T74" s="131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131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130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37"/>
      <c r="CA74" s="37"/>
      <c r="CB74" s="37"/>
      <c r="CC74" s="37"/>
      <c r="CD74" s="37"/>
      <c r="CE74" s="37"/>
      <c r="CF74" s="37"/>
      <c r="CG74" s="37"/>
      <c r="CH74" s="42"/>
      <c r="CI74" s="43"/>
      <c r="CJ74" s="37"/>
      <c r="CK74" s="37"/>
      <c r="CL74" s="37"/>
      <c r="CM74" s="37"/>
      <c r="CN74" s="37"/>
      <c r="CO74" s="37"/>
      <c r="CP74" s="37"/>
      <c r="CQ74" s="37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44"/>
    </row>
    <row r="75" spans="1:114" ht="12.75" hidden="1" outlineLevel="1">
      <c r="A75" s="4"/>
      <c r="B75" s="130"/>
      <c r="C75" s="52"/>
      <c r="D75" s="52"/>
      <c r="E75" s="52"/>
      <c r="F75" s="52"/>
      <c r="G75" s="52"/>
      <c r="H75" s="130"/>
      <c r="I75" s="130"/>
      <c r="J75" s="52"/>
      <c r="K75" s="52"/>
      <c r="L75" s="52"/>
      <c r="M75" s="52"/>
      <c r="N75" s="52"/>
      <c r="O75" s="52"/>
      <c r="P75" s="52"/>
      <c r="Q75" s="52"/>
      <c r="R75" s="52"/>
      <c r="S75" s="131"/>
      <c r="T75" s="131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131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130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37"/>
      <c r="CA75" s="37"/>
      <c r="CB75" s="37"/>
      <c r="CC75" s="37"/>
      <c r="CD75" s="37"/>
      <c r="CE75" s="37"/>
      <c r="CF75" s="37"/>
      <c r="CG75" s="37"/>
      <c r="CH75" s="42"/>
      <c r="CI75" s="43"/>
      <c r="CJ75" s="37"/>
      <c r="CK75" s="37"/>
      <c r="CL75" s="37"/>
      <c r="CM75" s="37"/>
      <c r="CN75" s="37"/>
      <c r="CO75" s="37"/>
      <c r="CP75" s="37"/>
      <c r="CQ75" s="37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44"/>
    </row>
    <row r="76" spans="1:114" ht="12.75" hidden="1" outlineLevel="1">
      <c r="A76" s="4"/>
      <c r="B76" s="130"/>
      <c r="C76" s="52"/>
      <c r="D76" s="52"/>
      <c r="E76" s="52"/>
      <c r="F76" s="52"/>
      <c r="G76" s="52"/>
      <c r="H76" s="130"/>
      <c r="I76" s="130"/>
      <c r="J76" s="52"/>
      <c r="K76" s="52"/>
      <c r="L76" s="52"/>
      <c r="M76" s="52"/>
      <c r="N76" s="52"/>
      <c r="O76" s="52"/>
      <c r="P76" s="52"/>
      <c r="Q76" s="52"/>
      <c r="R76" s="52"/>
      <c r="S76" s="131"/>
      <c r="T76" s="131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131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130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37"/>
      <c r="CA76" s="37"/>
      <c r="CB76" s="37"/>
      <c r="CC76" s="37"/>
      <c r="CD76" s="37"/>
      <c r="CE76" s="37"/>
      <c r="CF76" s="37"/>
      <c r="CG76" s="37"/>
      <c r="CH76" s="42"/>
      <c r="CI76" s="43"/>
      <c r="CJ76" s="37"/>
      <c r="CK76" s="37"/>
      <c r="CL76" s="37"/>
      <c r="CM76" s="37"/>
      <c r="CN76" s="37"/>
      <c r="CO76" s="37"/>
      <c r="CP76" s="37"/>
      <c r="CQ76" s="37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44"/>
    </row>
    <row r="77" spans="1:114" ht="12.75" hidden="1" outlineLevel="1">
      <c r="A77" s="4"/>
      <c r="B77" s="130"/>
      <c r="C77" s="52"/>
      <c r="D77" s="52"/>
      <c r="E77" s="52"/>
      <c r="F77" s="52"/>
      <c r="G77" s="52"/>
      <c r="H77" s="130"/>
      <c r="I77" s="130"/>
      <c r="J77" s="52"/>
      <c r="K77" s="52"/>
      <c r="L77" s="52"/>
      <c r="M77" s="52"/>
      <c r="N77" s="52"/>
      <c r="O77" s="52"/>
      <c r="P77" s="52"/>
      <c r="Q77" s="52"/>
      <c r="R77" s="52"/>
      <c r="S77" s="131"/>
      <c r="T77" s="131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131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130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37"/>
      <c r="CA77" s="37"/>
      <c r="CB77" s="37"/>
      <c r="CC77" s="37"/>
      <c r="CD77" s="37"/>
      <c r="CE77" s="37"/>
      <c r="CF77" s="37"/>
      <c r="CG77" s="37"/>
      <c r="CH77" s="42"/>
      <c r="CI77" s="43"/>
      <c r="CJ77" s="37"/>
      <c r="CK77" s="37"/>
      <c r="CL77" s="37"/>
      <c r="CM77" s="37"/>
      <c r="CN77" s="37"/>
      <c r="CO77" s="37"/>
      <c r="CP77" s="37"/>
      <c r="CQ77" s="37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44"/>
    </row>
    <row r="78" spans="1:114" ht="12.75" hidden="1" outlineLevel="1">
      <c r="A78" s="4"/>
      <c r="B78" s="130"/>
      <c r="C78" s="52"/>
      <c r="D78" s="52"/>
      <c r="E78" s="52"/>
      <c r="F78" s="52"/>
      <c r="G78" s="52"/>
      <c r="H78" s="130"/>
      <c r="I78" s="130"/>
      <c r="J78" s="52"/>
      <c r="K78" s="52"/>
      <c r="L78" s="52"/>
      <c r="M78" s="52"/>
      <c r="N78" s="52"/>
      <c r="O78" s="52"/>
      <c r="P78" s="52"/>
      <c r="Q78" s="52"/>
      <c r="R78" s="52"/>
      <c r="S78" s="131"/>
      <c r="T78" s="131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131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130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37"/>
      <c r="CA78" s="37"/>
      <c r="CB78" s="37"/>
      <c r="CC78" s="37"/>
      <c r="CD78" s="37"/>
      <c r="CE78" s="37"/>
      <c r="CF78" s="37"/>
      <c r="CG78" s="37"/>
      <c r="CH78" s="42"/>
      <c r="CI78" s="43"/>
      <c r="CJ78" s="37"/>
      <c r="CK78" s="37"/>
      <c r="CL78" s="37"/>
      <c r="CM78" s="37"/>
      <c r="CN78" s="37"/>
      <c r="CO78" s="37"/>
      <c r="CP78" s="37"/>
      <c r="CQ78" s="37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44"/>
    </row>
    <row r="79" spans="1:114" ht="12.75" hidden="1" outlineLevel="1">
      <c r="A79" s="4"/>
      <c r="B79" s="130"/>
      <c r="C79" s="52"/>
      <c r="D79" s="52"/>
      <c r="E79" s="52"/>
      <c r="F79" s="52"/>
      <c r="G79" s="52"/>
      <c r="H79" s="130"/>
      <c r="I79" s="130"/>
      <c r="J79" s="52"/>
      <c r="K79" s="52"/>
      <c r="L79" s="52"/>
      <c r="M79" s="52"/>
      <c r="N79" s="52"/>
      <c r="O79" s="52"/>
      <c r="P79" s="52"/>
      <c r="Q79" s="52"/>
      <c r="R79" s="52"/>
      <c r="S79" s="131"/>
      <c r="T79" s="131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131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130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37"/>
      <c r="CA79" s="37"/>
      <c r="CB79" s="37"/>
      <c r="CC79" s="37"/>
      <c r="CD79" s="37"/>
      <c r="CE79" s="37"/>
      <c r="CF79" s="37"/>
      <c r="CG79" s="37"/>
      <c r="CH79" s="42"/>
      <c r="CI79" s="43"/>
      <c r="CJ79" s="37"/>
      <c r="CK79" s="37"/>
      <c r="CL79" s="37"/>
      <c r="CM79" s="37"/>
      <c r="CN79" s="37"/>
      <c r="CO79" s="37"/>
      <c r="CP79" s="37"/>
      <c r="CQ79" s="37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44"/>
    </row>
    <row r="80" spans="1:114" ht="12.75" hidden="1" outlineLevel="1">
      <c r="A80" s="4"/>
      <c r="B80" s="130"/>
      <c r="C80" s="52"/>
      <c r="D80" s="52"/>
      <c r="E80" s="52"/>
      <c r="F80" s="52"/>
      <c r="G80" s="52"/>
      <c r="H80" s="130"/>
      <c r="I80" s="130"/>
      <c r="J80" s="52"/>
      <c r="K80" s="52"/>
      <c r="L80" s="52"/>
      <c r="M80" s="52"/>
      <c r="N80" s="52"/>
      <c r="O80" s="52"/>
      <c r="P80" s="52"/>
      <c r="Q80" s="52"/>
      <c r="R80" s="52"/>
      <c r="S80" s="131"/>
      <c r="T80" s="131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131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130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37"/>
      <c r="CA80" s="37"/>
      <c r="CB80" s="37"/>
      <c r="CC80" s="37"/>
      <c r="CD80" s="37"/>
      <c r="CE80" s="37"/>
      <c r="CF80" s="37"/>
      <c r="CG80" s="37"/>
      <c r="CH80" s="42"/>
      <c r="CI80" s="43"/>
      <c r="CJ80" s="37"/>
      <c r="CK80" s="37"/>
      <c r="CL80" s="37"/>
      <c r="CM80" s="37"/>
      <c r="CN80" s="37"/>
      <c r="CO80" s="37"/>
      <c r="CP80" s="37"/>
      <c r="CQ80" s="37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44"/>
    </row>
    <row r="81" spans="1:114" ht="12.75" hidden="1" outlineLevel="1">
      <c r="A81" s="4"/>
      <c r="B81" s="130"/>
      <c r="C81" s="52"/>
      <c r="D81" s="52"/>
      <c r="E81" s="52"/>
      <c r="F81" s="52"/>
      <c r="G81" s="52"/>
      <c r="H81" s="130"/>
      <c r="I81" s="130"/>
      <c r="J81" s="52"/>
      <c r="K81" s="52"/>
      <c r="L81" s="52"/>
      <c r="M81" s="52"/>
      <c r="N81" s="52"/>
      <c r="O81" s="52"/>
      <c r="P81" s="52"/>
      <c r="Q81" s="52"/>
      <c r="R81" s="52"/>
      <c r="S81" s="131"/>
      <c r="T81" s="131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131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130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37"/>
      <c r="CA81" s="37"/>
      <c r="CB81" s="37"/>
      <c r="CC81" s="37"/>
      <c r="CD81" s="37"/>
      <c r="CE81" s="37"/>
      <c r="CF81" s="37"/>
      <c r="CG81" s="37"/>
      <c r="CH81" s="42"/>
      <c r="CI81" s="43"/>
      <c r="CJ81" s="37"/>
      <c r="CK81" s="37"/>
      <c r="CL81" s="37"/>
      <c r="CM81" s="37"/>
      <c r="CN81" s="37"/>
      <c r="CO81" s="37"/>
      <c r="CP81" s="37"/>
      <c r="CQ81" s="37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44"/>
    </row>
    <row r="82" spans="1:114" ht="12.75" hidden="1" outlineLevel="1">
      <c r="A82" s="4"/>
      <c r="B82" s="130"/>
      <c r="C82" s="52"/>
      <c r="D82" s="52"/>
      <c r="E82" s="52"/>
      <c r="F82" s="52"/>
      <c r="G82" s="52"/>
      <c r="H82" s="130"/>
      <c r="I82" s="130"/>
      <c r="J82" s="52"/>
      <c r="K82" s="52"/>
      <c r="L82" s="52"/>
      <c r="M82" s="52"/>
      <c r="N82" s="52"/>
      <c r="O82" s="52"/>
      <c r="P82" s="52"/>
      <c r="Q82" s="52"/>
      <c r="R82" s="52"/>
      <c r="S82" s="131"/>
      <c r="T82" s="131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131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130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37"/>
      <c r="CA82" s="37"/>
      <c r="CB82" s="37"/>
      <c r="CC82" s="37"/>
      <c r="CD82" s="37"/>
      <c r="CE82" s="37"/>
      <c r="CF82" s="37"/>
      <c r="CG82" s="37"/>
      <c r="CH82" s="42"/>
      <c r="CI82" s="43"/>
      <c r="CJ82" s="37"/>
      <c r="CK82" s="37"/>
      <c r="CL82" s="37"/>
      <c r="CM82" s="37"/>
      <c r="CN82" s="37"/>
      <c r="CO82" s="37"/>
      <c r="CP82" s="37"/>
      <c r="CQ82" s="37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44"/>
    </row>
    <row r="83" spans="1:114" ht="12.75" hidden="1" outlineLevel="1">
      <c r="A83" s="4"/>
      <c r="B83" s="130"/>
      <c r="C83" s="52"/>
      <c r="D83" s="52"/>
      <c r="E83" s="52"/>
      <c r="F83" s="52"/>
      <c r="G83" s="52"/>
      <c r="H83" s="130"/>
      <c r="I83" s="130"/>
      <c r="J83" s="52"/>
      <c r="K83" s="52"/>
      <c r="L83" s="52"/>
      <c r="M83" s="52"/>
      <c r="N83" s="52"/>
      <c r="O83" s="52"/>
      <c r="P83" s="52"/>
      <c r="Q83" s="52"/>
      <c r="R83" s="52"/>
      <c r="S83" s="131"/>
      <c r="T83" s="131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131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130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37"/>
      <c r="CA83" s="37"/>
      <c r="CB83" s="37"/>
      <c r="CC83" s="37"/>
      <c r="CD83" s="37"/>
      <c r="CE83" s="37"/>
      <c r="CF83" s="37"/>
      <c r="CG83" s="37"/>
      <c r="CH83" s="42"/>
      <c r="CI83" s="43"/>
      <c r="CJ83" s="37"/>
      <c r="CK83" s="37"/>
      <c r="CL83" s="37"/>
      <c r="CM83" s="37"/>
      <c r="CN83" s="37"/>
      <c r="CO83" s="37"/>
      <c r="CP83" s="37"/>
      <c r="CQ83" s="37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44"/>
    </row>
    <row r="84" spans="1:114" ht="12.75" hidden="1" outlineLevel="1">
      <c r="A84" s="4"/>
      <c r="B84" s="130"/>
      <c r="C84" s="52"/>
      <c r="D84" s="52"/>
      <c r="E84" s="52"/>
      <c r="F84" s="52"/>
      <c r="G84" s="52"/>
      <c r="H84" s="130"/>
      <c r="I84" s="130"/>
      <c r="J84" s="52"/>
      <c r="K84" s="52"/>
      <c r="L84" s="52"/>
      <c r="M84" s="52"/>
      <c r="N84" s="52"/>
      <c r="O84" s="52"/>
      <c r="P84" s="52"/>
      <c r="Q84" s="52"/>
      <c r="R84" s="52"/>
      <c r="S84" s="131"/>
      <c r="T84" s="131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131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130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37"/>
      <c r="CA84" s="37"/>
      <c r="CB84" s="37"/>
      <c r="CC84" s="37"/>
      <c r="CD84" s="37"/>
      <c r="CE84" s="37"/>
      <c r="CF84" s="37"/>
      <c r="CG84" s="37"/>
      <c r="CH84" s="42"/>
      <c r="CI84" s="43"/>
      <c r="CJ84" s="37"/>
      <c r="CK84" s="37"/>
      <c r="CL84" s="37"/>
      <c r="CM84" s="37"/>
      <c r="CN84" s="37"/>
      <c r="CO84" s="37"/>
      <c r="CP84" s="37"/>
      <c r="CQ84" s="37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44"/>
    </row>
    <row r="85" spans="1:114" ht="12.75" hidden="1" outlineLevel="1">
      <c r="A85" s="4"/>
      <c r="B85" s="130"/>
      <c r="C85" s="52"/>
      <c r="D85" s="52"/>
      <c r="E85" s="52"/>
      <c r="F85" s="52"/>
      <c r="G85" s="52"/>
      <c r="H85" s="130"/>
      <c r="I85" s="130"/>
      <c r="J85" s="52"/>
      <c r="K85" s="52"/>
      <c r="L85" s="52"/>
      <c r="M85" s="52"/>
      <c r="N85" s="52"/>
      <c r="O85" s="52"/>
      <c r="P85" s="52"/>
      <c r="Q85" s="52"/>
      <c r="R85" s="52"/>
      <c r="S85" s="131"/>
      <c r="T85" s="131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131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130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37"/>
      <c r="CA85" s="37"/>
      <c r="CB85" s="37"/>
      <c r="CC85" s="37"/>
      <c r="CD85" s="37"/>
      <c r="CE85" s="37"/>
      <c r="CF85" s="37"/>
      <c r="CG85" s="37"/>
      <c r="CH85" s="42"/>
      <c r="CI85" s="43"/>
      <c r="CJ85" s="37"/>
      <c r="CK85" s="37"/>
      <c r="CL85" s="37"/>
      <c r="CM85" s="37"/>
      <c r="CN85" s="37"/>
      <c r="CO85" s="37"/>
      <c r="CP85" s="37"/>
      <c r="CQ85" s="37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44"/>
    </row>
    <row r="86" spans="1:114" ht="12.75" hidden="1" outlineLevel="1">
      <c r="A86" s="4"/>
      <c r="B86" s="130"/>
      <c r="C86" s="52"/>
      <c r="D86" s="52"/>
      <c r="E86" s="52"/>
      <c r="F86" s="52"/>
      <c r="G86" s="52"/>
      <c r="H86" s="130"/>
      <c r="I86" s="130"/>
      <c r="J86" s="52"/>
      <c r="K86" s="52"/>
      <c r="L86" s="52"/>
      <c r="M86" s="52"/>
      <c r="N86" s="52"/>
      <c r="O86" s="52"/>
      <c r="P86" s="52"/>
      <c r="Q86" s="52"/>
      <c r="R86" s="52"/>
      <c r="S86" s="131"/>
      <c r="T86" s="131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131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130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37"/>
      <c r="CA86" s="37"/>
      <c r="CB86" s="37"/>
      <c r="CC86" s="37"/>
      <c r="CD86" s="37"/>
      <c r="CE86" s="37"/>
      <c r="CF86" s="37"/>
      <c r="CG86" s="37"/>
      <c r="CH86" s="42"/>
      <c r="CI86" s="43"/>
      <c r="CJ86" s="37"/>
      <c r="CK86" s="37"/>
      <c r="CL86" s="37"/>
      <c r="CM86" s="37"/>
      <c r="CN86" s="37"/>
      <c r="CO86" s="37"/>
      <c r="CP86" s="37"/>
      <c r="CQ86" s="37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44"/>
    </row>
    <row r="87" spans="1:114" ht="12.75" hidden="1" outlineLevel="1">
      <c r="A87" s="4"/>
      <c r="B87" s="130"/>
      <c r="C87" s="52"/>
      <c r="D87" s="52"/>
      <c r="E87" s="52"/>
      <c r="F87" s="52"/>
      <c r="G87" s="52"/>
      <c r="H87" s="130"/>
      <c r="I87" s="130"/>
      <c r="J87" s="52"/>
      <c r="K87" s="52"/>
      <c r="L87" s="52"/>
      <c r="M87" s="52"/>
      <c r="N87" s="52"/>
      <c r="O87" s="52"/>
      <c r="P87" s="52"/>
      <c r="Q87" s="52"/>
      <c r="R87" s="52"/>
      <c r="S87" s="131"/>
      <c r="T87" s="131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131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130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37"/>
      <c r="CA87" s="37"/>
      <c r="CB87" s="37"/>
      <c r="CC87" s="37"/>
      <c r="CD87" s="37"/>
      <c r="CE87" s="37"/>
      <c r="CF87" s="37"/>
      <c r="CG87" s="37"/>
      <c r="CH87" s="42"/>
      <c r="CI87" s="43"/>
      <c r="CJ87" s="37"/>
      <c r="CK87" s="37"/>
      <c r="CL87" s="37"/>
      <c r="CM87" s="37"/>
      <c r="CN87" s="37"/>
      <c r="CO87" s="37"/>
      <c r="CP87" s="37"/>
      <c r="CQ87" s="37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44"/>
    </row>
    <row r="88" spans="1:114" ht="12.75" hidden="1" outlineLevel="1">
      <c r="A88" s="4"/>
      <c r="B88" s="130"/>
      <c r="C88" s="52"/>
      <c r="D88" s="52"/>
      <c r="E88" s="52"/>
      <c r="F88" s="52"/>
      <c r="G88" s="52"/>
      <c r="H88" s="130"/>
      <c r="I88" s="130"/>
      <c r="J88" s="52"/>
      <c r="K88" s="52"/>
      <c r="L88" s="52"/>
      <c r="M88" s="52"/>
      <c r="N88" s="52"/>
      <c r="O88" s="52"/>
      <c r="P88" s="52"/>
      <c r="Q88" s="52"/>
      <c r="R88" s="52"/>
      <c r="S88" s="131"/>
      <c r="T88" s="131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131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130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37"/>
      <c r="CA88" s="37"/>
      <c r="CB88" s="37"/>
      <c r="CC88" s="37"/>
      <c r="CD88" s="37"/>
      <c r="CE88" s="37"/>
      <c r="CF88" s="37"/>
      <c r="CG88" s="37"/>
      <c r="CH88" s="42"/>
      <c r="CI88" s="43"/>
      <c r="CJ88" s="37"/>
      <c r="CK88" s="37"/>
      <c r="CL88" s="37"/>
      <c r="CM88" s="37"/>
      <c r="CN88" s="37"/>
      <c r="CO88" s="37"/>
      <c r="CP88" s="37"/>
      <c r="CQ88" s="37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44"/>
    </row>
    <row r="89" spans="1:114" ht="12.75" hidden="1" outlineLevel="1">
      <c r="A89" s="4"/>
      <c r="B89" s="130"/>
      <c r="C89" s="52"/>
      <c r="D89" s="52"/>
      <c r="E89" s="52"/>
      <c r="F89" s="52"/>
      <c r="G89" s="52"/>
      <c r="H89" s="130"/>
      <c r="I89" s="130"/>
      <c r="J89" s="52"/>
      <c r="K89" s="52"/>
      <c r="L89" s="52"/>
      <c r="M89" s="52"/>
      <c r="N89" s="52"/>
      <c r="O89" s="52"/>
      <c r="P89" s="52"/>
      <c r="Q89" s="52"/>
      <c r="R89" s="52"/>
      <c r="S89" s="131"/>
      <c r="T89" s="131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131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130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37"/>
      <c r="CA89" s="37"/>
      <c r="CB89" s="37"/>
      <c r="CC89" s="37"/>
      <c r="CD89" s="37"/>
      <c r="CE89" s="37"/>
      <c r="CF89" s="37"/>
      <c r="CG89" s="37"/>
      <c r="CH89" s="42"/>
      <c r="CI89" s="43"/>
      <c r="CJ89" s="37"/>
      <c r="CK89" s="37"/>
      <c r="CL89" s="37"/>
      <c r="CM89" s="37"/>
      <c r="CN89" s="37"/>
      <c r="CO89" s="37"/>
      <c r="CP89" s="37"/>
      <c r="CQ89" s="37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44"/>
    </row>
    <row r="90" spans="1:114" ht="12.75" hidden="1" outlineLevel="1">
      <c r="A90" s="4"/>
      <c r="B90" s="130"/>
      <c r="C90" s="52"/>
      <c r="D90" s="52"/>
      <c r="E90" s="52"/>
      <c r="F90" s="52"/>
      <c r="G90" s="52"/>
      <c r="H90" s="130"/>
      <c r="I90" s="130"/>
      <c r="J90" s="52"/>
      <c r="K90" s="52"/>
      <c r="L90" s="52"/>
      <c r="M90" s="52"/>
      <c r="N90" s="52"/>
      <c r="O90" s="52"/>
      <c r="P90" s="52"/>
      <c r="Q90" s="52"/>
      <c r="R90" s="52"/>
      <c r="S90" s="131"/>
      <c r="T90" s="131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131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130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37"/>
      <c r="CA90" s="37"/>
      <c r="CB90" s="37"/>
      <c r="CC90" s="37"/>
      <c r="CD90" s="37"/>
      <c r="CE90" s="37"/>
      <c r="CF90" s="37"/>
      <c r="CG90" s="37"/>
      <c r="CH90" s="42"/>
      <c r="CI90" s="43"/>
      <c r="CJ90" s="37"/>
      <c r="CK90" s="37"/>
      <c r="CL90" s="37"/>
      <c r="CM90" s="37"/>
      <c r="CN90" s="37"/>
      <c r="CO90" s="37"/>
      <c r="CP90" s="37"/>
      <c r="CQ90" s="37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44"/>
    </row>
    <row r="91" spans="1:114" ht="12.75" hidden="1" outlineLevel="1">
      <c r="A91" s="4"/>
      <c r="B91" s="130"/>
      <c r="C91" s="52"/>
      <c r="D91" s="52"/>
      <c r="E91" s="52"/>
      <c r="F91" s="52"/>
      <c r="G91" s="52"/>
      <c r="H91" s="130"/>
      <c r="I91" s="130"/>
      <c r="J91" s="52"/>
      <c r="K91" s="52"/>
      <c r="L91" s="52"/>
      <c r="M91" s="52"/>
      <c r="N91" s="52"/>
      <c r="O91" s="52"/>
      <c r="P91" s="52"/>
      <c r="Q91" s="52"/>
      <c r="R91" s="52"/>
      <c r="S91" s="131"/>
      <c r="T91" s="131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131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130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37"/>
      <c r="CA91" s="37"/>
      <c r="CB91" s="37"/>
      <c r="CC91" s="37"/>
      <c r="CD91" s="37"/>
      <c r="CE91" s="37"/>
      <c r="CF91" s="37"/>
      <c r="CG91" s="37"/>
      <c r="CH91" s="42"/>
      <c r="CI91" s="43"/>
      <c r="CJ91" s="37"/>
      <c r="CK91" s="37"/>
      <c r="CL91" s="37"/>
      <c r="CM91" s="37"/>
      <c r="CN91" s="37"/>
      <c r="CO91" s="37"/>
      <c r="CP91" s="37"/>
      <c r="CQ91" s="37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44"/>
    </row>
    <row r="92" spans="1:114" ht="12.75" hidden="1" outlineLevel="1">
      <c r="A92" s="4"/>
      <c r="B92" s="130"/>
      <c r="C92" s="52"/>
      <c r="D92" s="52"/>
      <c r="E92" s="52"/>
      <c r="F92" s="52"/>
      <c r="G92" s="52"/>
      <c r="H92" s="130"/>
      <c r="I92" s="130"/>
      <c r="J92" s="52"/>
      <c r="K92" s="52"/>
      <c r="L92" s="52"/>
      <c r="M92" s="52"/>
      <c r="N92" s="52"/>
      <c r="O92" s="52"/>
      <c r="P92" s="52"/>
      <c r="Q92" s="52"/>
      <c r="R92" s="52"/>
      <c r="S92" s="131"/>
      <c r="T92" s="131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131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130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37"/>
      <c r="CA92" s="37"/>
      <c r="CB92" s="37"/>
      <c r="CC92" s="37"/>
      <c r="CD92" s="37"/>
      <c r="CE92" s="37"/>
      <c r="CF92" s="37"/>
      <c r="CG92" s="37"/>
      <c r="CH92" s="42"/>
      <c r="CI92" s="43"/>
      <c r="CJ92" s="37"/>
      <c r="CK92" s="37"/>
      <c r="CL92" s="37"/>
      <c r="CM92" s="37"/>
      <c r="CN92" s="37"/>
      <c r="CO92" s="37"/>
      <c r="CP92" s="37"/>
      <c r="CQ92" s="37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44"/>
    </row>
    <row r="93" spans="1:114" ht="12.75" hidden="1" outlineLevel="1">
      <c r="A93" s="4"/>
      <c r="B93" s="130"/>
      <c r="C93" s="52"/>
      <c r="D93" s="52"/>
      <c r="E93" s="52"/>
      <c r="F93" s="52"/>
      <c r="G93" s="52"/>
      <c r="H93" s="130"/>
      <c r="I93" s="130"/>
      <c r="J93" s="52"/>
      <c r="K93" s="52"/>
      <c r="L93" s="52"/>
      <c r="M93" s="52"/>
      <c r="N93" s="52"/>
      <c r="O93" s="52"/>
      <c r="P93" s="52"/>
      <c r="Q93" s="52"/>
      <c r="R93" s="52"/>
      <c r="S93" s="131"/>
      <c r="T93" s="131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131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130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37"/>
      <c r="CA93" s="37"/>
      <c r="CB93" s="37"/>
      <c r="CC93" s="37"/>
      <c r="CD93" s="37"/>
      <c r="CE93" s="37"/>
      <c r="CF93" s="37"/>
      <c r="CG93" s="37"/>
      <c r="CH93" s="42"/>
      <c r="CI93" s="43"/>
      <c r="CJ93" s="37"/>
      <c r="CK93" s="37"/>
      <c r="CL93" s="37"/>
      <c r="CM93" s="37"/>
      <c r="CN93" s="37"/>
      <c r="CO93" s="37"/>
      <c r="CP93" s="37"/>
      <c r="CQ93" s="37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44"/>
    </row>
    <row r="94" spans="1:114" ht="12.75" hidden="1" outlineLevel="1">
      <c r="A94" s="4"/>
      <c r="B94" s="130"/>
      <c r="C94" s="52"/>
      <c r="D94" s="52"/>
      <c r="E94" s="52"/>
      <c r="F94" s="52"/>
      <c r="G94" s="52"/>
      <c r="H94" s="130"/>
      <c r="I94" s="130"/>
      <c r="J94" s="52"/>
      <c r="K94" s="52"/>
      <c r="L94" s="52"/>
      <c r="M94" s="52"/>
      <c r="N94" s="52"/>
      <c r="O94" s="52"/>
      <c r="P94" s="52"/>
      <c r="Q94" s="52"/>
      <c r="R94" s="52"/>
      <c r="S94" s="131"/>
      <c r="T94" s="131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131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130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37"/>
      <c r="CA94" s="37"/>
      <c r="CB94" s="37"/>
      <c r="CC94" s="37"/>
      <c r="CD94" s="37"/>
      <c r="CE94" s="37"/>
      <c r="CF94" s="37"/>
      <c r="CG94" s="37"/>
      <c r="CH94" s="42"/>
      <c r="CI94" s="43"/>
      <c r="CJ94" s="37"/>
      <c r="CK94" s="37"/>
      <c r="CL94" s="37"/>
      <c r="CM94" s="37"/>
      <c r="CN94" s="37"/>
      <c r="CO94" s="37"/>
      <c r="CP94" s="37"/>
      <c r="CQ94" s="37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44"/>
    </row>
    <row r="95" spans="1:114" ht="12.75" hidden="1" outlineLevel="1">
      <c r="A95" s="4"/>
      <c r="B95" s="130"/>
      <c r="C95" s="52"/>
      <c r="D95" s="52"/>
      <c r="E95" s="52"/>
      <c r="F95" s="52"/>
      <c r="G95" s="52"/>
      <c r="H95" s="130"/>
      <c r="I95" s="130"/>
      <c r="J95" s="52"/>
      <c r="K95" s="52"/>
      <c r="L95" s="52"/>
      <c r="M95" s="52"/>
      <c r="N95" s="52"/>
      <c r="O95" s="52"/>
      <c r="P95" s="52"/>
      <c r="Q95" s="52"/>
      <c r="R95" s="52"/>
      <c r="S95" s="131"/>
      <c r="T95" s="131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131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130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37"/>
      <c r="CA95" s="37"/>
      <c r="CB95" s="37"/>
      <c r="CC95" s="37"/>
      <c r="CD95" s="37"/>
      <c r="CE95" s="37"/>
      <c r="CF95" s="37"/>
      <c r="CG95" s="37"/>
      <c r="CH95" s="42"/>
      <c r="CI95" s="43"/>
      <c r="CJ95" s="37"/>
      <c r="CK95" s="37"/>
      <c r="CL95" s="37"/>
      <c r="CM95" s="37"/>
      <c r="CN95" s="37"/>
      <c r="CO95" s="37"/>
      <c r="CP95" s="37"/>
      <c r="CQ95" s="37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44"/>
    </row>
    <row r="96" spans="1:114" ht="12.75" hidden="1" outlineLevel="1">
      <c r="A96" s="4"/>
      <c r="B96" s="130"/>
      <c r="C96" s="52"/>
      <c r="D96" s="52"/>
      <c r="E96" s="52"/>
      <c r="F96" s="52"/>
      <c r="G96" s="52"/>
      <c r="H96" s="130"/>
      <c r="I96" s="130"/>
      <c r="J96" s="52"/>
      <c r="K96" s="52"/>
      <c r="L96" s="52"/>
      <c r="M96" s="52"/>
      <c r="N96" s="52"/>
      <c r="O96" s="52"/>
      <c r="P96" s="52"/>
      <c r="Q96" s="52"/>
      <c r="R96" s="52"/>
      <c r="S96" s="131"/>
      <c r="T96" s="131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131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130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37"/>
      <c r="CA96" s="37"/>
      <c r="CB96" s="37"/>
      <c r="CC96" s="37"/>
      <c r="CD96" s="37"/>
      <c r="CE96" s="37"/>
      <c r="CF96" s="37"/>
      <c r="CG96" s="37"/>
      <c r="CH96" s="42"/>
      <c r="CI96" s="43"/>
      <c r="CJ96" s="37"/>
      <c r="CK96" s="37"/>
      <c r="CL96" s="37"/>
      <c r="CM96" s="37"/>
      <c r="CN96" s="37"/>
      <c r="CO96" s="37"/>
      <c r="CP96" s="37"/>
      <c r="CQ96" s="37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44"/>
    </row>
    <row r="97" spans="1:114" ht="12.75" hidden="1" outlineLevel="1">
      <c r="A97" s="4"/>
      <c r="B97" s="130"/>
      <c r="C97" s="52"/>
      <c r="D97" s="52"/>
      <c r="E97" s="52"/>
      <c r="F97" s="52"/>
      <c r="G97" s="52"/>
      <c r="H97" s="130"/>
      <c r="I97" s="130"/>
      <c r="J97" s="52"/>
      <c r="K97" s="52"/>
      <c r="L97" s="52"/>
      <c r="M97" s="52"/>
      <c r="N97" s="52"/>
      <c r="O97" s="52"/>
      <c r="P97" s="52"/>
      <c r="Q97" s="52"/>
      <c r="R97" s="52"/>
      <c r="S97" s="131"/>
      <c r="T97" s="131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131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130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37"/>
      <c r="CA97" s="37"/>
      <c r="CB97" s="37"/>
      <c r="CC97" s="37"/>
      <c r="CD97" s="37"/>
      <c r="CE97" s="37"/>
      <c r="CF97" s="37"/>
      <c r="CG97" s="37"/>
      <c r="CH97" s="42"/>
      <c r="CI97" s="43"/>
      <c r="CJ97" s="37"/>
      <c r="CK97" s="37"/>
      <c r="CL97" s="37"/>
      <c r="CM97" s="37"/>
      <c r="CN97" s="37"/>
      <c r="CO97" s="37"/>
      <c r="CP97" s="37"/>
      <c r="CQ97" s="37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44"/>
    </row>
    <row r="98" spans="1:114" ht="12.75" hidden="1" outlineLevel="1">
      <c r="A98" s="4"/>
      <c r="B98" s="130"/>
      <c r="C98" s="52"/>
      <c r="D98" s="52"/>
      <c r="E98" s="52"/>
      <c r="F98" s="52"/>
      <c r="G98" s="52"/>
      <c r="H98" s="130"/>
      <c r="I98" s="130"/>
      <c r="J98" s="52"/>
      <c r="K98" s="52"/>
      <c r="L98" s="52"/>
      <c r="M98" s="52"/>
      <c r="N98" s="52"/>
      <c r="O98" s="52"/>
      <c r="P98" s="52"/>
      <c r="Q98" s="52"/>
      <c r="R98" s="52"/>
      <c r="S98" s="131"/>
      <c r="T98" s="131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131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130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37"/>
      <c r="CA98" s="37"/>
      <c r="CB98" s="37"/>
      <c r="CC98" s="37"/>
      <c r="CD98" s="37"/>
      <c r="CE98" s="37"/>
      <c r="CF98" s="37"/>
      <c r="CG98" s="37"/>
      <c r="CH98" s="42"/>
      <c r="CI98" s="43"/>
      <c r="CJ98" s="37"/>
      <c r="CK98" s="37"/>
      <c r="CL98" s="37"/>
      <c r="CM98" s="37"/>
      <c r="CN98" s="37"/>
      <c r="CO98" s="37"/>
      <c r="CP98" s="37"/>
      <c r="CQ98" s="37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44"/>
    </row>
    <row r="99" spans="1:114" ht="12.75" hidden="1" outlineLevel="1">
      <c r="A99" s="4"/>
      <c r="B99" s="130"/>
      <c r="C99" s="52"/>
      <c r="D99" s="52"/>
      <c r="E99" s="52"/>
      <c r="F99" s="52"/>
      <c r="G99" s="52"/>
      <c r="H99" s="130"/>
      <c r="I99" s="130"/>
      <c r="J99" s="52"/>
      <c r="K99" s="52"/>
      <c r="L99" s="52"/>
      <c r="M99" s="52"/>
      <c r="N99" s="52"/>
      <c r="O99" s="52"/>
      <c r="P99" s="52"/>
      <c r="Q99" s="52"/>
      <c r="R99" s="52"/>
      <c r="S99" s="131"/>
      <c r="T99" s="131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131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130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37"/>
      <c r="CA99" s="37"/>
      <c r="CB99" s="37"/>
      <c r="CC99" s="37"/>
      <c r="CD99" s="37"/>
      <c r="CE99" s="37"/>
      <c r="CF99" s="37"/>
      <c r="CG99" s="37"/>
      <c r="CH99" s="42"/>
      <c r="CI99" s="43"/>
      <c r="CJ99" s="37"/>
      <c r="CK99" s="37"/>
      <c r="CL99" s="37"/>
      <c r="CM99" s="37"/>
      <c r="CN99" s="37"/>
      <c r="CO99" s="37"/>
      <c r="CP99" s="37"/>
      <c r="CQ99" s="37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44"/>
    </row>
    <row r="100" spans="1:114" ht="12.75" hidden="1" outlineLevel="1">
      <c r="A100" s="4"/>
      <c r="B100" s="130"/>
      <c r="C100" s="52"/>
      <c r="D100" s="52"/>
      <c r="E100" s="52"/>
      <c r="F100" s="52"/>
      <c r="G100" s="52"/>
      <c r="H100" s="130"/>
      <c r="I100" s="130"/>
      <c r="J100" s="52"/>
      <c r="K100" s="52"/>
      <c r="L100" s="52"/>
      <c r="M100" s="52"/>
      <c r="N100" s="52"/>
      <c r="O100" s="52"/>
      <c r="P100" s="52"/>
      <c r="Q100" s="52"/>
      <c r="R100" s="52"/>
      <c r="S100" s="131"/>
      <c r="T100" s="131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131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130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37"/>
      <c r="CA100" s="37"/>
      <c r="CB100" s="37"/>
      <c r="CC100" s="37"/>
      <c r="CD100" s="37"/>
      <c r="CE100" s="37"/>
      <c r="CF100" s="37"/>
      <c r="CG100" s="37"/>
      <c r="CH100" s="42"/>
      <c r="CI100" s="43"/>
      <c r="CJ100" s="37"/>
      <c r="CK100" s="37"/>
      <c r="CL100" s="37"/>
      <c r="CM100" s="37"/>
      <c r="CN100" s="37"/>
      <c r="CO100" s="37"/>
      <c r="CP100" s="37"/>
      <c r="CQ100" s="37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44"/>
    </row>
    <row r="101" spans="1:114" ht="12.75" hidden="1" outlineLevel="1">
      <c r="A101" s="4"/>
      <c r="B101" s="130"/>
      <c r="C101" s="52"/>
      <c r="D101" s="52"/>
      <c r="E101" s="52"/>
      <c r="F101" s="52"/>
      <c r="G101" s="52"/>
      <c r="H101" s="130"/>
      <c r="I101" s="130"/>
      <c r="J101" s="52"/>
      <c r="K101" s="52"/>
      <c r="L101" s="52"/>
      <c r="M101" s="52"/>
      <c r="N101" s="52"/>
      <c r="O101" s="52"/>
      <c r="P101" s="52"/>
      <c r="Q101" s="52"/>
      <c r="R101" s="52"/>
      <c r="S101" s="131"/>
      <c r="T101" s="131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131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130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37"/>
      <c r="CA101" s="37"/>
      <c r="CB101" s="37"/>
      <c r="CC101" s="37"/>
      <c r="CD101" s="37"/>
      <c r="CE101" s="37"/>
      <c r="CF101" s="37"/>
      <c r="CG101" s="37"/>
      <c r="CH101" s="42"/>
      <c r="CI101" s="43"/>
      <c r="CJ101" s="37"/>
      <c r="CK101" s="37"/>
      <c r="CL101" s="37"/>
      <c r="CM101" s="37"/>
      <c r="CN101" s="37"/>
      <c r="CO101" s="37"/>
      <c r="CP101" s="37"/>
      <c r="CQ101" s="37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44"/>
    </row>
    <row r="102" spans="1:114" ht="12.75" hidden="1" outlineLevel="1">
      <c r="A102" s="4"/>
      <c r="B102" s="130"/>
      <c r="C102" s="52"/>
      <c r="D102" s="52"/>
      <c r="E102" s="52"/>
      <c r="F102" s="52"/>
      <c r="G102" s="52"/>
      <c r="H102" s="130"/>
      <c r="I102" s="130"/>
      <c r="J102" s="52"/>
      <c r="K102" s="52"/>
      <c r="L102" s="52"/>
      <c r="M102" s="52"/>
      <c r="N102" s="52"/>
      <c r="O102" s="52"/>
      <c r="P102" s="52"/>
      <c r="Q102" s="52"/>
      <c r="R102" s="52"/>
      <c r="S102" s="131"/>
      <c r="T102" s="131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131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130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37"/>
      <c r="CA102" s="37"/>
      <c r="CB102" s="37"/>
      <c r="CC102" s="37"/>
      <c r="CD102" s="37"/>
      <c r="CE102" s="37"/>
      <c r="CF102" s="37"/>
      <c r="CG102" s="37"/>
      <c r="CH102" s="42"/>
      <c r="CI102" s="43"/>
      <c r="CJ102" s="37"/>
      <c r="CK102" s="37"/>
      <c r="CL102" s="37"/>
      <c r="CM102" s="37"/>
      <c r="CN102" s="37"/>
      <c r="CO102" s="37"/>
      <c r="CP102" s="37"/>
      <c r="CQ102" s="37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44"/>
    </row>
    <row r="103" spans="1:114" ht="12.75" hidden="1" outlineLevel="1">
      <c r="A103" s="4"/>
      <c r="B103" s="130"/>
      <c r="C103" s="52"/>
      <c r="D103" s="52"/>
      <c r="E103" s="52"/>
      <c r="F103" s="52"/>
      <c r="G103" s="52"/>
      <c r="H103" s="130"/>
      <c r="I103" s="130"/>
      <c r="J103" s="52"/>
      <c r="K103" s="52"/>
      <c r="L103" s="52"/>
      <c r="M103" s="52"/>
      <c r="N103" s="52"/>
      <c r="O103" s="52"/>
      <c r="P103" s="52"/>
      <c r="Q103" s="52"/>
      <c r="R103" s="52"/>
      <c r="S103" s="131"/>
      <c r="T103" s="131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131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130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37"/>
      <c r="CA103" s="37"/>
      <c r="CB103" s="37"/>
      <c r="CC103" s="37"/>
      <c r="CD103" s="37"/>
      <c r="CE103" s="37"/>
      <c r="CF103" s="37"/>
      <c r="CG103" s="37"/>
      <c r="CH103" s="42"/>
      <c r="CI103" s="43"/>
      <c r="CJ103" s="37"/>
      <c r="CK103" s="37"/>
      <c r="CL103" s="37"/>
      <c r="CM103" s="37"/>
      <c r="CN103" s="37"/>
      <c r="CO103" s="37"/>
      <c r="CP103" s="37"/>
      <c r="CQ103" s="37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44"/>
    </row>
    <row r="104" spans="1:114" ht="12.75" hidden="1" outlineLevel="1">
      <c r="A104" s="4"/>
      <c r="B104" s="130"/>
      <c r="C104" s="52"/>
      <c r="D104" s="52"/>
      <c r="E104" s="52"/>
      <c r="F104" s="52"/>
      <c r="G104" s="52"/>
      <c r="H104" s="130"/>
      <c r="I104" s="130"/>
      <c r="J104" s="52"/>
      <c r="K104" s="52"/>
      <c r="L104" s="52"/>
      <c r="M104" s="52"/>
      <c r="N104" s="52"/>
      <c r="O104" s="52"/>
      <c r="P104" s="52"/>
      <c r="Q104" s="52"/>
      <c r="R104" s="52"/>
      <c r="S104" s="131"/>
      <c r="T104" s="131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131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130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37"/>
      <c r="CA104" s="37"/>
      <c r="CB104" s="37"/>
      <c r="CC104" s="37"/>
      <c r="CD104" s="37"/>
      <c r="CE104" s="37"/>
      <c r="CF104" s="37"/>
      <c r="CG104" s="37"/>
      <c r="CH104" s="42"/>
      <c r="CI104" s="43"/>
      <c r="CJ104" s="37"/>
      <c r="CK104" s="37"/>
      <c r="CL104" s="37"/>
      <c r="CM104" s="37"/>
      <c r="CN104" s="37"/>
      <c r="CO104" s="37"/>
      <c r="CP104" s="37"/>
      <c r="CQ104" s="37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44"/>
    </row>
    <row r="105" spans="1:114" ht="12.75" hidden="1" outlineLevel="1">
      <c r="A105" s="4"/>
      <c r="B105" s="130"/>
      <c r="C105" s="52"/>
      <c r="D105" s="52"/>
      <c r="E105" s="52"/>
      <c r="F105" s="52"/>
      <c r="G105" s="52"/>
      <c r="H105" s="130"/>
      <c r="I105" s="130"/>
      <c r="J105" s="52"/>
      <c r="K105" s="52"/>
      <c r="L105" s="52"/>
      <c r="M105" s="52"/>
      <c r="N105" s="52"/>
      <c r="O105" s="52"/>
      <c r="P105" s="52"/>
      <c r="Q105" s="52"/>
      <c r="R105" s="52"/>
      <c r="S105" s="131"/>
      <c r="T105" s="131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131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130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37"/>
      <c r="CA105" s="37"/>
      <c r="CB105" s="37"/>
      <c r="CC105" s="37"/>
      <c r="CD105" s="37"/>
      <c r="CE105" s="37"/>
      <c r="CF105" s="37"/>
      <c r="CG105" s="37"/>
      <c r="CH105" s="42"/>
      <c r="CI105" s="43"/>
      <c r="CJ105" s="37"/>
      <c r="CK105" s="37"/>
      <c r="CL105" s="37"/>
      <c r="CM105" s="37"/>
      <c r="CN105" s="37"/>
      <c r="CO105" s="37"/>
      <c r="CP105" s="37"/>
      <c r="CQ105" s="37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44"/>
    </row>
    <row r="106" spans="1:114" ht="12.75" hidden="1" outlineLevel="1">
      <c r="A106" s="4"/>
      <c r="B106" s="130"/>
      <c r="C106" s="52"/>
      <c r="D106" s="52"/>
      <c r="E106" s="52"/>
      <c r="F106" s="52"/>
      <c r="G106" s="52"/>
      <c r="H106" s="130"/>
      <c r="I106" s="130"/>
      <c r="J106" s="52"/>
      <c r="K106" s="52"/>
      <c r="L106" s="52"/>
      <c r="M106" s="52"/>
      <c r="N106" s="52"/>
      <c r="O106" s="52"/>
      <c r="P106" s="52"/>
      <c r="Q106" s="52"/>
      <c r="R106" s="52"/>
      <c r="S106" s="131"/>
      <c r="T106" s="131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131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130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37"/>
      <c r="CA106" s="37"/>
      <c r="CB106" s="37"/>
      <c r="CC106" s="37"/>
      <c r="CD106" s="37"/>
      <c r="CE106" s="37"/>
      <c r="CF106" s="37"/>
      <c r="CG106" s="37"/>
      <c r="CH106" s="42"/>
      <c r="CI106" s="43"/>
      <c r="CJ106" s="37"/>
      <c r="CK106" s="37"/>
      <c r="CL106" s="37"/>
      <c r="CM106" s="37"/>
      <c r="CN106" s="37"/>
      <c r="CO106" s="37"/>
      <c r="CP106" s="37"/>
      <c r="CQ106" s="37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44"/>
    </row>
    <row r="107" spans="1:114" ht="12.75" hidden="1" outlineLevel="1">
      <c r="A107" s="4"/>
      <c r="B107" s="130"/>
      <c r="C107" s="52"/>
      <c r="D107" s="52"/>
      <c r="E107" s="52"/>
      <c r="F107" s="52"/>
      <c r="G107" s="52"/>
      <c r="H107" s="130"/>
      <c r="I107" s="130"/>
      <c r="J107" s="52"/>
      <c r="K107" s="52"/>
      <c r="L107" s="52"/>
      <c r="M107" s="52"/>
      <c r="N107" s="52"/>
      <c r="O107" s="52"/>
      <c r="P107" s="52"/>
      <c r="Q107" s="52"/>
      <c r="R107" s="52"/>
      <c r="S107" s="131"/>
      <c r="T107" s="131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131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130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37"/>
      <c r="CA107" s="37"/>
      <c r="CB107" s="37"/>
      <c r="CC107" s="37"/>
      <c r="CD107" s="37"/>
      <c r="CE107" s="37"/>
      <c r="CF107" s="37"/>
      <c r="CG107" s="37"/>
      <c r="CH107" s="42"/>
      <c r="CI107" s="43"/>
      <c r="CJ107" s="37"/>
      <c r="CK107" s="37"/>
      <c r="CL107" s="37"/>
      <c r="CM107" s="37"/>
      <c r="CN107" s="37"/>
      <c r="CO107" s="37"/>
      <c r="CP107" s="37"/>
      <c r="CQ107" s="37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44"/>
    </row>
    <row r="108" spans="1:114" ht="12.75" hidden="1" outlineLevel="1">
      <c r="A108" s="4"/>
      <c r="B108" s="130"/>
      <c r="C108" s="52"/>
      <c r="D108" s="52"/>
      <c r="E108" s="52"/>
      <c r="F108" s="52"/>
      <c r="G108" s="52"/>
      <c r="H108" s="130"/>
      <c r="I108" s="130"/>
      <c r="J108" s="52"/>
      <c r="K108" s="52"/>
      <c r="L108" s="52"/>
      <c r="M108" s="52"/>
      <c r="N108" s="52"/>
      <c r="O108" s="52"/>
      <c r="P108" s="52"/>
      <c r="Q108" s="52"/>
      <c r="R108" s="52"/>
      <c r="S108" s="131"/>
      <c r="T108" s="131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131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130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37"/>
      <c r="CA108" s="37"/>
      <c r="CB108" s="37"/>
      <c r="CC108" s="37"/>
      <c r="CD108" s="37"/>
      <c r="CE108" s="37"/>
      <c r="CF108" s="37"/>
      <c r="CG108" s="37"/>
      <c r="CH108" s="42"/>
      <c r="CI108" s="43"/>
      <c r="CJ108" s="37"/>
      <c r="CK108" s="37"/>
      <c r="CL108" s="37"/>
      <c r="CM108" s="37"/>
      <c r="CN108" s="37"/>
      <c r="CO108" s="37"/>
      <c r="CP108" s="37"/>
      <c r="CQ108" s="37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44"/>
    </row>
    <row r="109" spans="1:114" ht="12.75" hidden="1" outlineLevel="1">
      <c r="A109" s="4"/>
      <c r="B109" s="130"/>
      <c r="C109" s="52"/>
      <c r="D109" s="52"/>
      <c r="E109" s="52"/>
      <c r="F109" s="52"/>
      <c r="G109" s="52"/>
      <c r="H109" s="130"/>
      <c r="I109" s="130"/>
      <c r="J109" s="52"/>
      <c r="K109" s="52"/>
      <c r="L109" s="52"/>
      <c r="M109" s="52"/>
      <c r="N109" s="52"/>
      <c r="O109" s="52"/>
      <c r="P109" s="52"/>
      <c r="Q109" s="52"/>
      <c r="R109" s="52"/>
      <c r="S109" s="131"/>
      <c r="T109" s="131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131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130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37"/>
      <c r="CA109" s="37"/>
      <c r="CB109" s="37"/>
      <c r="CC109" s="37"/>
      <c r="CD109" s="37"/>
      <c r="CE109" s="37"/>
      <c r="CF109" s="37"/>
      <c r="CG109" s="37"/>
      <c r="CH109" s="42"/>
      <c r="CI109" s="43"/>
      <c r="CJ109" s="37"/>
      <c r="CK109" s="37"/>
      <c r="CL109" s="37"/>
      <c r="CM109" s="37"/>
      <c r="CN109" s="37"/>
      <c r="CO109" s="37"/>
      <c r="CP109" s="37"/>
      <c r="CQ109" s="37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44"/>
    </row>
    <row r="110" spans="1:114" ht="12.75" hidden="1" outlineLevel="1">
      <c r="A110" s="4"/>
      <c r="B110" s="130"/>
      <c r="C110" s="52"/>
      <c r="D110" s="52"/>
      <c r="E110" s="52"/>
      <c r="F110" s="52"/>
      <c r="G110" s="52"/>
      <c r="H110" s="130"/>
      <c r="I110" s="130"/>
      <c r="J110" s="52"/>
      <c r="K110" s="52"/>
      <c r="L110" s="52"/>
      <c r="M110" s="52"/>
      <c r="N110" s="52"/>
      <c r="O110" s="52"/>
      <c r="P110" s="52"/>
      <c r="Q110" s="52"/>
      <c r="R110" s="52"/>
      <c r="S110" s="131"/>
      <c r="T110" s="131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131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130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37"/>
      <c r="CA110" s="37"/>
      <c r="CB110" s="37"/>
      <c r="CC110" s="37"/>
      <c r="CD110" s="37"/>
      <c r="CE110" s="37"/>
      <c r="CF110" s="37"/>
      <c r="CG110" s="37"/>
      <c r="CH110" s="42"/>
      <c r="CI110" s="43"/>
      <c r="CJ110" s="37"/>
      <c r="CK110" s="37"/>
      <c r="CL110" s="37"/>
      <c r="CM110" s="37"/>
      <c r="CN110" s="37"/>
      <c r="CO110" s="37"/>
      <c r="CP110" s="37"/>
      <c r="CQ110" s="37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44"/>
    </row>
    <row r="111" spans="1:114" ht="12.75" hidden="1" outlineLevel="1">
      <c r="A111" s="4"/>
      <c r="B111" s="130"/>
      <c r="C111" s="52"/>
      <c r="D111" s="52"/>
      <c r="E111" s="52"/>
      <c r="F111" s="52"/>
      <c r="G111" s="52"/>
      <c r="H111" s="130"/>
      <c r="I111" s="130"/>
      <c r="J111" s="52"/>
      <c r="K111" s="52"/>
      <c r="L111" s="52"/>
      <c r="M111" s="52"/>
      <c r="N111" s="52"/>
      <c r="O111" s="52"/>
      <c r="P111" s="52"/>
      <c r="Q111" s="52"/>
      <c r="R111" s="52"/>
      <c r="S111" s="131"/>
      <c r="T111" s="131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131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130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37"/>
      <c r="CA111" s="37"/>
      <c r="CB111" s="37"/>
      <c r="CC111" s="37"/>
      <c r="CD111" s="37"/>
      <c r="CE111" s="37"/>
      <c r="CF111" s="37"/>
      <c r="CG111" s="37"/>
      <c r="CH111" s="42"/>
      <c r="CI111" s="43"/>
      <c r="CJ111" s="37"/>
      <c r="CK111" s="37"/>
      <c r="CL111" s="37"/>
      <c r="CM111" s="37"/>
      <c r="CN111" s="37"/>
      <c r="CO111" s="37"/>
      <c r="CP111" s="37"/>
      <c r="CQ111" s="37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44"/>
    </row>
    <row r="112" spans="1:114" ht="12.75" hidden="1" outlineLevel="1">
      <c r="A112" s="4"/>
      <c r="B112" s="130"/>
      <c r="C112" s="52"/>
      <c r="D112" s="52"/>
      <c r="E112" s="52"/>
      <c r="F112" s="52"/>
      <c r="G112" s="52"/>
      <c r="H112" s="130"/>
      <c r="I112" s="130"/>
      <c r="J112" s="52"/>
      <c r="K112" s="52"/>
      <c r="L112" s="52"/>
      <c r="M112" s="52"/>
      <c r="N112" s="52"/>
      <c r="O112" s="52"/>
      <c r="P112" s="52"/>
      <c r="Q112" s="52"/>
      <c r="R112" s="52"/>
      <c r="S112" s="131"/>
      <c r="T112" s="131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131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130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37"/>
      <c r="CA112" s="37"/>
      <c r="CB112" s="37"/>
      <c r="CC112" s="37"/>
      <c r="CD112" s="37"/>
      <c r="CE112" s="37"/>
      <c r="CF112" s="37"/>
      <c r="CG112" s="37"/>
      <c r="CH112" s="42"/>
      <c r="CI112" s="43"/>
      <c r="CJ112" s="37"/>
      <c r="CK112" s="37"/>
      <c r="CL112" s="37"/>
      <c r="CM112" s="37"/>
      <c r="CN112" s="37"/>
      <c r="CO112" s="37"/>
      <c r="CP112" s="37"/>
      <c r="CQ112" s="37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44"/>
    </row>
    <row r="113" spans="1:114" ht="12.75" hidden="1" outlineLevel="1">
      <c r="A113" s="4"/>
      <c r="B113" s="130"/>
      <c r="C113" s="52"/>
      <c r="D113" s="52"/>
      <c r="E113" s="52"/>
      <c r="F113" s="52"/>
      <c r="G113" s="52"/>
      <c r="H113" s="130"/>
      <c r="I113" s="130"/>
      <c r="J113" s="52"/>
      <c r="K113" s="52"/>
      <c r="L113" s="52"/>
      <c r="M113" s="52"/>
      <c r="N113" s="52"/>
      <c r="O113" s="52"/>
      <c r="P113" s="52"/>
      <c r="Q113" s="52"/>
      <c r="R113" s="52"/>
      <c r="S113" s="131"/>
      <c r="T113" s="131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131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130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37"/>
      <c r="CA113" s="37"/>
      <c r="CB113" s="37"/>
      <c r="CC113" s="37"/>
      <c r="CD113" s="37"/>
      <c r="CE113" s="37"/>
      <c r="CF113" s="37"/>
      <c r="CG113" s="37"/>
      <c r="CH113" s="42"/>
      <c r="CI113" s="43"/>
      <c r="CJ113" s="37"/>
      <c r="CK113" s="37"/>
      <c r="CL113" s="37"/>
      <c r="CM113" s="37"/>
      <c r="CN113" s="37"/>
      <c r="CO113" s="37"/>
      <c r="CP113" s="37"/>
      <c r="CQ113" s="37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44"/>
    </row>
    <row r="114" spans="1:114" ht="12.75" hidden="1" outlineLevel="1">
      <c r="A114" s="4"/>
      <c r="B114" s="130"/>
      <c r="C114" s="52"/>
      <c r="D114" s="52"/>
      <c r="E114" s="52"/>
      <c r="F114" s="52"/>
      <c r="G114" s="52"/>
      <c r="H114" s="130"/>
      <c r="I114" s="130"/>
      <c r="J114" s="52"/>
      <c r="K114" s="52"/>
      <c r="L114" s="52"/>
      <c r="M114" s="52"/>
      <c r="N114" s="52"/>
      <c r="O114" s="52"/>
      <c r="P114" s="52"/>
      <c r="Q114" s="52"/>
      <c r="R114" s="52"/>
      <c r="S114" s="131"/>
      <c r="T114" s="131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131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130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37"/>
      <c r="CA114" s="37"/>
      <c r="CB114" s="37"/>
      <c r="CC114" s="37"/>
      <c r="CD114" s="37"/>
      <c r="CE114" s="37"/>
      <c r="CF114" s="37"/>
      <c r="CG114" s="37"/>
      <c r="CH114" s="42"/>
      <c r="CI114" s="43"/>
      <c r="CJ114" s="37"/>
      <c r="CK114" s="37"/>
      <c r="CL114" s="37"/>
      <c r="CM114" s="37"/>
      <c r="CN114" s="37"/>
      <c r="CO114" s="37"/>
      <c r="CP114" s="37"/>
      <c r="CQ114" s="37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44"/>
    </row>
    <row r="115" spans="1:114" ht="12.75" hidden="1" outlineLevel="1">
      <c r="A115" s="4"/>
      <c r="B115" s="130"/>
      <c r="C115" s="52"/>
      <c r="D115" s="52"/>
      <c r="E115" s="52"/>
      <c r="F115" s="52"/>
      <c r="G115" s="52"/>
      <c r="H115" s="130"/>
      <c r="I115" s="130"/>
      <c r="J115" s="52"/>
      <c r="K115" s="52"/>
      <c r="L115" s="52"/>
      <c r="M115" s="52"/>
      <c r="N115" s="52"/>
      <c r="O115" s="52"/>
      <c r="P115" s="52"/>
      <c r="Q115" s="52"/>
      <c r="R115" s="52"/>
      <c r="S115" s="131"/>
      <c r="T115" s="131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131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130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37"/>
      <c r="CA115" s="37"/>
      <c r="CB115" s="37"/>
      <c r="CC115" s="37"/>
      <c r="CD115" s="37"/>
      <c r="CE115" s="37"/>
      <c r="CF115" s="37"/>
      <c r="CG115" s="37"/>
      <c r="CH115" s="42"/>
      <c r="CI115" s="43"/>
      <c r="CJ115" s="37"/>
      <c r="CK115" s="37"/>
      <c r="CL115" s="37"/>
      <c r="CM115" s="37"/>
      <c r="CN115" s="37"/>
      <c r="CO115" s="37"/>
      <c r="CP115" s="37"/>
      <c r="CQ115" s="37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44"/>
    </row>
    <row r="116" spans="1:114" ht="12.75" hidden="1" outlineLevel="1">
      <c r="A116" s="4"/>
      <c r="B116" s="130"/>
      <c r="C116" s="52"/>
      <c r="D116" s="52"/>
      <c r="E116" s="52"/>
      <c r="F116" s="52"/>
      <c r="G116" s="52"/>
      <c r="H116" s="130"/>
      <c r="I116" s="130"/>
      <c r="J116" s="52"/>
      <c r="K116" s="52"/>
      <c r="L116" s="52"/>
      <c r="M116" s="52"/>
      <c r="N116" s="52"/>
      <c r="O116" s="52"/>
      <c r="P116" s="52"/>
      <c r="Q116" s="52"/>
      <c r="R116" s="52"/>
      <c r="S116" s="131"/>
      <c r="T116" s="131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131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130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37"/>
      <c r="CA116" s="37"/>
      <c r="CB116" s="37"/>
      <c r="CC116" s="37"/>
      <c r="CD116" s="37"/>
      <c r="CE116" s="37"/>
      <c r="CF116" s="37"/>
      <c r="CG116" s="37"/>
      <c r="CH116" s="42"/>
      <c r="CI116" s="43"/>
      <c r="CJ116" s="37"/>
      <c r="CK116" s="37"/>
      <c r="CL116" s="37"/>
      <c r="CM116" s="37"/>
      <c r="CN116" s="37"/>
      <c r="CO116" s="37"/>
      <c r="CP116" s="37"/>
      <c r="CQ116" s="37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44"/>
    </row>
    <row r="117" spans="1:114" ht="12.75" hidden="1" outlineLevel="1">
      <c r="A117" s="4"/>
      <c r="B117" s="130"/>
      <c r="C117" s="52"/>
      <c r="D117" s="52"/>
      <c r="E117" s="52"/>
      <c r="F117" s="52"/>
      <c r="G117" s="52"/>
      <c r="H117" s="130"/>
      <c r="I117" s="130"/>
      <c r="J117" s="52"/>
      <c r="K117" s="52"/>
      <c r="L117" s="52"/>
      <c r="M117" s="52"/>
      <c r="N117" s="52"/>
      <c r="O117" s="52"/>
      <c r="P117" s="52"/>
      <c r="Q117" s="52"/>
      <c r="R117" s="52"/>
      <c r="S117" s="131"/>
      <c r="T117" s="131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131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130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37"/>
      <c r="CA117" s="37"/>
      <c r="CB117" s="37"/>
      <c r="CC117" s="37"/>
      <c r="CD117" s="37"/>
      <c r="CE117" s="37"/>
      <c r="CF117" s="37"/>
      <c r="CG117" s="37"/>
      <c r="CH117" s="42"/>
      <c r="CI117" s="43"/>
      <c r="CJ117" s="37"/>
      <c r="CK117" s="37"/>
      <c r="CL117" s="37"/>
      <c r="CM117" s="37"/>
      <c r="CN117" s="37"/>
      <c r="CO117" s="37"/>
      <c r="CP117" s="37"/>
      <c r="CQ117" s="37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44"/>
    </row>
    <row r="118" spans="1:114" ht="12.75" hidden="1" outlineLevel="1">
      <c r="A118" s="4"/>
      <c r="B118" s="130"/>
      <c r="C118" s="52"/>
      <c r="D118" s="52"/>
      <c r="E118" s="52"/>
      <c r="F118" s="52"/>
      <c r="G118" s="52"/>
      <c r="H118" s="130"/>
      <c r="I118" s="130"/>
      <c r="J118" s="52"/>
      <c r="K118" s="52"/>
      <c r="L118" s="52"/>
      <c r="M118" s="52"/>
      <c r="N118" s="52"/>
      <c r="O118" s="52"/>
      <c r="P118" s="52"/>
      <c r="Q118" s="52"/>
      <c r="R118" s="52"/>
      <c r="S118" s="131"/>
      <c r="T118" s="131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131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130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37"/>
      <c r="CA118" s="37"/>
      <c r="CB118" s="37"/>
      <c r="CC118" s="37"/>
      <c r="CD118" s="37"/>
      <c r="CE118" s="37"/>
      <c r="CF118" s="37"/>
      <c r="CG118" s="37"/>
      <c r="CH118" s="42"/>
      <c r="CI118" s="43"/>
      <c r="CJ118" s="37"/>
      <c r="CK118" s="37"/>
      <c r="CL118" s="37"/>
      <c r="CM118" s="37"/>
      <c r="CN118" s="37"/>
      <c r="CO118" s="37"/>
      <c r="CP118" s="37"/>
      <c r="CQ118" s="37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44"/>
    </row>
    <row r="119" spans="1:114" ht="12.75" hidden="1" outlineLevel="1">
      <c r="A119" s="4"/>
      <c r="B119" s="130"/>
      <c r="C119" s="52"/>
      <c r="D119" s="52"/>
      <c r="E119" s="52"/>
      <c r="F119" s="52"/>
      <c r="G119" s="52"/>
      <c r="H119" s="130"/>
      <c r="I119" s="130"/>
      <c r="J119" s="52"/>
      <c r="K119" s="52"/>
      <c r="L119" s="52"/>
      <c r="M119" s="52"/>
      <c r="N119" s="52"/>
      <c r="O119" s="52"/>
      <c r="P119" s="52"/>
      <c r="Q119" s="52"/>
      <c r="R119" s="52"/>
      <c r="S119" s="131"/>
      <c r="T119" s="131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131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130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37"/>
      <c r="CA119" s="37"/>
      <c r="CB119" s="37"/>
      <c r="CC119" s="37"/>
      <c r="CD119" s="37"/>
      <c r="CE119" s="37"/>
      <c r="CF119" s="37"/>
      <c r="CG119" s="37"/>
      <c r="CH119" s="42"/>
      <c r="CI119" s="43"/>
      <c r="CJ119" s="37"/>
      <c r="CK119" s="37"/>
      <c r="CL119" s="37"/>
      <c r="CM119" s="37"/>
      <c r="CN119" s="37"/>
      <c r="CO119" s="37"/>
      <c r="CP119" s="37"/>
      <c r="CQ119" s="37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44"/>
    </row>
    <row r="120" spans="1:114" ht="12.75" hidden="1" outlineLevel="1">
      <c r="A120" s="20"/>
      <c r="B120" s="63"/>
      <c r="C120" s="52"/>
      <c r="D120" s="52"/>
      <c r="E120" s="61"/>
      <c r="F120" s="61"/>
      <c r="G120" s="52"/>
      <c r="H120" s="63"/>
      <c r="I120" s="63"/>
      <c r="J120" s="65"/>
      <c r="K120" s="65"/>
      <c r="L120" s="65"/>
      <c r="M120" s="65"/>
      <c r="N120" s="65"/>
      <c r="O120" s="65"/>
      <c r="P120" s="65"/>
      <c r="Q120" s="65"/>
      <c r="R120" s="65"/>
      <c r="S120" s="68"/>
      <c r="T120" s="68"/>
      <c r="U120" s="65"/>
      <c r="V120" s="92"/>
      <c r="W120" s="92"/>
      <c r="X120" s="71"/>
      <c r="Y120" s="72"/>
      <c r="Z120" s="72"/>
      <c r="AA120" s="72"/>
      <c r="AB120" s="72"/>
      <c r="AC120" s="72"/>
      <c r="AD120" s="72"/>
      <c r="AE120" s="68"/>
      <c r="AF120" s="73"/>
      <c r="AG120" s="73"/>
      <c r="AH120" s="73"/>
      <c r="AI120" s="73"/>
      <c r="AJ120" s="73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129"/>
      <c r="CA120" s="129"/>
      <c r="CB120" s="129"/>
      <c r="CC120" s="129"/>
      <c r="CD120" s="129"/>
      <c r="CE120" s="129"/>
      <c r="CF120" s="129"/>
      <c r="CG120" s="37"/>
      <c r="CH120" s="42"/>
      <c r="CI120" s="43"/>
      <c r="CJ120" s="37"/>
      <c r="CK120" s="37"/>
      <c r="CL120" s="37"/>
      <c r="CM120" s="37"/>
      <c r="CN120" s="37"/>
      <c r="CO120" s="37"/>
      <c r="CP120" s="37"/>
      <c r="CQ120" s="37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44"/>
    </row>
    <row r="121" spans="1:114" ht="12.75" hidden="1" outlineLevel="1">
      <c r="A121" s="20"/>
      <c r="B121" s="63"/>
      <c r="C121" s="52"/>
      <c r="D121" s="52"/>
      <c r="E121" s="61"/>
      <c r="F121" s="61"/>
      <c r="G121" s="52"/>
      <c r="H121" s="63"/>
      <c r="I121" s="63"/>
      <c r="J121" s="65"/>
      <c r="K121" s="65"/>
      <c r="L121" s="65"/>
      <c r="M121" s="65"/>
      <c r="N121" s="65"/>
      <c r="O121" s="65"/>
      <c r="P121" s="65"/>
      <c r="Q121" s="65"/>
      <c r="R121" s="65"/>
      <c r="S121" s="68"/>
      <c r="T121" s="68"/>
      <c r="U121" s="65"/>
      <c r="V121" s="92"/>
      <c r="W121" s="92"/>
      <c r="X121" s="71"/>
      <c r="Y121" s="72"/>
      <c r="Z121" s="72"/>
      <c r="AA121" s="72"/>
      <c r="AB121" s="72"/>
      <c r="AC121" s="72"/>
      <c r="AD121" s="72"/>
      <c r="AE121" s="68"/>
      <c r="AF121" s="73"/>
      <c r="AG121" s="73"/>
      <c r="AH121" s="73"/>
      <c r="AI121" s="73"/>
      <c r="AJ121" s="73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129"/>
      <c r="CA121" s="129"/>
      <c r="CB121" s="129"/>
      <c r="CC121" s="129"/>
      <c r="CD121" s="129"/>
      <c r="CE121" s="129"/>
      <c r="CF121" s="129"/>
      <c r="CG121" s="37"/>
      <c r="CH121" s="42"/>
      <c r="CI121" s="43"/>
      <c r="CJ121" s="37"/>
      <c r="CK121" s="37"/>
      <c r="CL121" s="37"/>
      <c r="CM121" s="37"/>
      <c r="CN121" s="37"/>
      <c r="CO121" s="37"/>
      <c r="CP121" s="37"/>
      <c r="CQ121" s="37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44"/>
    </row>
    <row r="122" spans="1:114" ht="12.75" hidden="1" outlineLevel="1">
      <c r="A122" s="20"/>
      <c r="B122" s="63"/>
      <c r="C122" s="52"/>
      <c r="D122" s="52"/>
      <c r="E122" s="61"/>
      <c r="F122" s="61"/>
      <c r="G122" s="52"/>
      <c r="H122" s="63"/>
      <c r="I122" s="63"/>
      <c r="J122" s="65"/>
      <c r="K122" s="65"/>
      <c r="L122" s="65"/>
      <c r="M122" s="65"/>
      <c r="N122" s="65"/>
      <c r="O122" s="65"/>
      <c r="P122" s="65"/>
      <c r="Q122" s="65"/>
      <c r="R122" s="65"/>
      <c r="S122" s="68"/>
      <c r="T122" s="68"/>
      <c r="U122" s="65"/>
      <c r="V122" s="92"/>
      <c r="W122" s="92"/>
      <c r="X122" s="71"/>
      <c r="Y122" s="72"/>
      <c r="Z122" s="72"/>
      <c r="AA122" s="72"/>
      <c r="AB122" s="72"/>
      <c r="AC122" s="72"/>
      <c r="AD122" s="72"/>
      <c r="AE122" s="68"/>
      <c r="AF122" s="73"/>
      <c r="AG122" s="73"/>
      <c r="AH122" s="73"/>
      <c r="AI122" s="73"/>
      <c r="AJ122" s="73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129"/>
      <c r="CA122" s="129"/>
      <c r="CB122" s="129"/>
      <c r="CC122" s="129"/>
      <c r="CD122" s="129"/>
      <c r="CE122" s="129"/>
      <c r="CF122" s="129"/>
      <c r="CG122" s="37"/>
      <c r="CH122" s="42"/>
      <c r="CI122" s="43"/>
      <c r="CJ122" s="37"/>
      <c r="CK122" s="37"/>
      <c r="CL122" s="37"/>
      <c r="CM122" s="37"/>
      <c r="CN122" s="37"/>
      <c r="CO122" s="37"/>
      <c r="CP122" s="37"/>
      <c r="CQ122" s="37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44"/>
    </row>
    <row r="123" spans="1:114" ht="12.75" hidden="1" outlineLevel="1">
      <c r="A123" s="20"/>
      <c r="B123" s="63"/>
      <c r="C123" s="52"/>
      <c r="D123" s="52"/>
      <c r="E123" s="61"/>
      <c r="F123" s="61"/>
      <c r="G123" s="52"/>
      <c r="H123" s="63"/>
      <c r="I123" s="63"/>
      <c r="J123" s="65"/>
      <c r="K123" s="65"/>
      <c r="L123" s="65"/>
      <c r="M123" s="65"/>
      <c r="N123" s="65"/>
      <c r="O123" s="65"/>
      <c r="P123" s="65"/>
      <c r="Q123" s="65"/>
      <c r="R123" s="65"/>
      <c r="S123" s="68"/>
      <c r="T123" s="68"/>
      <c r="U123" s="65"/>
      <c r="V123" s="92"/>
      <c r="W123" s="92"/>
      <c r="X123" s="71"/>
      <c r="Y123" s="72"/>
      <c r="Z123" s="72"/>
      <c r="AA123" s="72"/>
      <c r="AB123" s="72"/>
      <c r="AC123" s="72"/>
      <c r="AD123" s="72"/>
      <c r="AE123" s="68"/>
      <c r="AF123" s="73"/>
      <c r="AG123" s="73"/>
      <c r="AH123" s="73"/>
      <c r="AI123" s="73"/>
      <c r="AJ123" s="73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129"/>
      <c r="CA123" s="129"/>
      <c r="CB123" s="129"/>
      <c r="CC123" s="129"/>
      <c r="CD123" s="129"/>
      <c r="CE123" s="129"/>
      <c r="CF123" s="129"/>
      <c r="CG123" s="37"/>
      <c r="CH123" s="42"/>
      <c r="CI123" s="43"/>
      <c r="CJ123" s="37"/>
      <c r="CK123" s="37"/>
      <c r="CL123" s="37"/>
      <c r="CM123" s="37"/>
      <c r="CN123" s="37"/>
      <c r="CO123" s="37"/>
      <c r="CP123" s="37"/>
      <c r="CQ123" s="37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44"/>
    </row>
    <row r="124" spans="1:114" ht="12.75" hidden="1" outlineLevel="1">
      <c r="A124" s="20"/>
      <c r="B124" s="63"/>
      <c r="C124" s="52"/>
      <c r="D124" s="52"/>
      <c r="E124" s="61"/>
      <c r="F124" s="61"/>
      <c r="G124" s="52"/>
      <c r="H124" s="63"/>
      <c r="I124" s="63"/>
      <c r="J124" s="65"/>
      <c r="K124" s="65"/>
      <c r="L124" s="65"/>
      <c r="M124" s="65"/>
      <c r="N124" s="65"/>
      <c r="O124" s="65"/>
      <c r="P124" s="65"/>
      <c r="Q124" s="65"/>
      <c r="R124" s="65"/>
      <c r="S124" s="68"/>
      <c r="T124" s="68"/>
      <c r="U124" s="65"/>
      <c r="V124" s="92"/>
      <c r="W124" s="92"/>
      <c r="X124" s="71"/>
      <c r="Y124" s="72"/>
      <c r="Z124" s="72"/>
      <c r="AA124" s="72"/>
      <c r="AB124" s="72"/>
      <c r="AC124" s="72"/>
      <c r="AD124" s="72"/>
      <c r="AE124" s="68"/>
      <c r="AF124" s="73"/>
      <c r="AG124" s="73"/>
      <c r="AH124" s="73"/>
      <c r="AI124" s="73"/>
      <c r="AJ124" s="73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129"/>
      <c r="CA124" s="129"/>
      <c r="CB124" s="129"/>
      <c r="CC124" s="129"/>
      <c r="CD124" s="129"/>
      <c r="CE124" s="129"/>
      <c r="CF124" s="129"/>
      <c r="CG124" s="37"/>
      <c r="CH124" s="42"/>
      <c r="CI124" s="43"/>
      <c r="CJ124" s="37"/>
      <c r="CK124" s="37"/>
      <c r="CL124" s="37"/>
      <c r="CM124" s="37"/>
      <c r="CN124" s="37"/>
      <c r="CO124" s="37"/>
      <c r="CP124" s="37"/>
      <c r="CQ124" s="37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44"/>
    </row>
    <row r="125" spans="1:114" ht="12.75" hidden="1" outlineLevel="1">
      <c r="A125" s="4"/>
      <c r="B125" s="63"/>
      <c r="C125" s="52"/>
      <c r="D125" s="52"/>
      <c r="E125" s="61"/>
      <c r="F125" s="61"/>
      <c r="G125" s="52"/>
      <c r="H125" s="63"/>
      <c r="I125" s="63"/>
      <c r="J125" s="65"/>
      <c r="K125" s="65"/>
      <c r="L125" s="65"/>
      <c r="M125" s="65"/>
      <c r="N125" s="65"/>
      <c r="O125" s="65"/>
      <c r="P125" s="65"/>
      <c r="Q125" s="65"/>
      <c r="R125" s="65"/>
      <c r="S125" s="68"/>
      <c r="T125" s="68"/>
      <c r="U125" s="65"/>
      <c r="V125" s="92"/>
      <c r="W125" s="92"/>
      <c r="X125" s="71"/>
      <c r="Y125" s="72"/>
      <c r="Z125" s="72"/>
      <c r="AA125" s="72"/>
      <c r="AB125" s="72"/>
      <c r="AC125" s="72"/>
      <c r="AD125" s="72"/>
      <c r="AE125" s="68"/>
      <c r="AF125" s="73"/>
      <c r="AG125" s="73"/>
      <c r="AH125" s="73"/>
      <c r="AI125" s="73"/>
      <c r="AJ125" s="73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129"/>
      <c r="CA125" s="129"/>
      <c r="CB125" s="129"/>
      <c r="CC125" s="129"/>
      <c r="CD125" s="129"/>
      <c r="CE125" s="129"/>
      <c r="CF125" s="129"/>
      <c r="CG125" s="37"/>
      <c r="CH125" s="42"/>
      <c r="CI125" s="43"/>
      <c r="CJ125" s="37"/>
      <c r="CK125" s="37"/>
      <c r="CL125" s="37"/>
      <c r="CM125" s="37"/>
      <c r="CN125" s="37"/>
      <c r="CO125" s="37"/>
      <c r="CP125" s="37"/>
      <c r="CQ125" s="37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44"/>
    </row>
    <row r="126" spans="1:114" ht="12.75" hidden="1" outlineLevel="1">
      <c r="A126" s="4"/>
      <c r="B126" s="63"/>
      <c r="C126" s="52"/>
      <c r="D126" s="52"/>
      <c r="E126" s="61"/>
      <c r="F126" s="61"/>
      <c r="G126" s="52"/>
      <c r="H126" s="63"/>
      <c r="I126" s="63"/>
      <c r="J126" s="65"/>
      <c r="K126" s="65"/>
      <c r="L126" s="65"/>
      <c r="M126" s="65"/>
      <c r="N126" s="65"/>
      <c r="O126" s="65"/>
      <c r="P126" s="65"/>
      <c r="Q126" s="65"/>
      <c r="R126" s="65"/>
      <c r="S126" s="68"/>
      <c r="T126" s="68"/>
      <c r="U126" s="65"/>
      <c r="V126" s="92"/>
      <c r="W126" s="92"/>
      <c r="X126" s="71"/>
      <c r="Y126" s="72"/>
      <c r="Z126" s="72"/>
      <c r="AA126" s="72"/>
      <c r="AB126" s="72"/>
      <c r="AC126" s="72"/>
      <c r="AD126" s="72"/>
      <c r="AE126" s="68"/>
      <c r="AF126" s="73"/>
      <c r="AG126" s="73"/>
      <c r="AH126" s="73"/>
      <c r="AI126" s="73"/>
      <c r="AJ126" s="73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129"/>
      <c r="CA126" s="129"/>
      <c r="CB126" s="129"/>
      <c r="CC126" s="129"/>
      <c r="CD126" s="129"/>
      <c r="CE126" s="129"/>
      <c r="CF126" s="129"/>
      <c r="CG126" s="37"/>
      <c r="CH126" s="42"/>
      <c r="CI126" s="43"/>
      <c r="CJ126" s="37"/>
      <c r="CK126" s="37"/>
      <c r="CL126" s="37"/>
      <c r="CM126" s="37"/>
      <c r="CN126" s="37"/>
      <c r="CO126" s="37"/>
      <c r="CP126" s="37"/>
      <c r="CQ126" s="37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44"/>
    </row>
    <row r="127" spans="1:114" ht="12.75" hidden="1" outlineLevel="1">
      <c r="A127" s="4"/>
      <c r="B127" s="63"/>
      <c r="C127" s="52"/>
      <c r="D127" s="52"/>
      <c r="E127" s="61"/>
      <c r="F127" s="61"/>
      <c r="G127" s="52"/>
      <c r="H127" s="63"/>
      <c r="I127" s="63"/>
      <c r="J127" s="65"/>
      <c r="K127" s="65"/>
      <c r="L127" s="65"/>
      <c r="M127" s="65"/>
      <c r="N127" s="65"/>
      <c r="O127" s="65"/>
      <c r="P127" s="65"/>
      <c r="Q127" s="65"/>
      <c r="R127" s="65"/>
      <c r="S127" s="68"/>
      <c r="T127" s="68"/>
      <c r="U127" s="65"/>
      <c r="V127" s="92"/>
      <c r="W127" s="92"/>
      <c r="X127" s="71"/>
      <c r="Y127" s="72"/>
      <c r="Z127" s="72"/>
      <c r="AA127" s="72"/>
      <c r="AB127" s="72"/>
      <c r="AC127" s="72"/>
      <c r="AD127" s="72"/>
      <c r="AE127" s="68"/>
      <c r="AF127" s="73"/>
      <c r="AG127" s="73"/>
      <c r="AH127" s="73"/>
      <c r="AI127" s="73"/>
      <c r="AJ127" s="73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129"/>
      <c r="CA127" s="129"/>
      <c r="CB127" s="129"/>
      <c r="CC127" s="129"/>
      <c r="CD127" s="129"/>
      <c r="CE127" s="129"/>
      <c r="CF127" s="129"/>
      <c r="CG127" s="37"/>
      <c r="CH127" s="42"/>
      <c r="CI127" s="43"/>
      <c r="CJ127" s="37"/>
      <c r="CK127" s="37"/>
      <c r="CL127" s="37"/>
      <c r="CM127" s="37"/>
      <c r="CN127" s="37"/>
      <c r="CO127" s="37"/>
      <c r="CP127" s="37"/>
      <c r="CQ127" s="37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44"/>
    </row>
    <row r="128" spans="1:114" ht="12.75" hidden="1" outlineLevel="1">
      <c r="A128" s="4"/>
      <c r="B128" s="63"/>
      <c r="C128" s="52"/>
      <c r="D128" s="52"/>
      <c r="E128" s="61"/>
      <c r="F128" s="61"/>
      <c r="G128" s="52"/>
      <c r="H128" s="63"/>
      <c r="I128" s="63"/>
      <c r="J128" s="65"/>
      <c r="K128" s="65"/>
      <c r="L128" s="65"/>
      <c r="M128" s="65"/>
      <c r="N128" s="65"/>
      <c r="O128" s="65"/>
      <c r="P128" s="65"/>
      <c r="Q128" s="65"/>
      <c r="R128" s="65"/>
      <c r="S128" s="68"/>
      <c r="T128" s="68"/>
      <c r="U128" s="65"/>
      <c r="V128" s="92"/>
      <c r="W128" s="92"/>
      <c r="X128" s="71"/>
      <c r="Y128" s="72"/>
      <c r="Z128" s="72"/>
      <c r="AA128" s="72"/>
      <c r="AB128" s="72"/>
      <c r="AC128" s="72"/>
      <c r="AD128" s="72"/>
      <c r="AE128" s="68"/>
      <c r="AF128" s="73"/>
      <c r="AG128" s="73"/>
      <c r="AH128" s="73"/>
      <c r="AI128" s="73"/>
      <c r="AJ128" s="73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129"/>
      <c r="CA128" s="129"/>
      <c r="CB128" s="129"/>
      <c r="CC128" s="129"/>
      <c r="CD128" s="129"/>
      <c r="CE128" s="129"/>
      <c r="CF128" s="129"/>
      <c r="CG128" s="37"/>
      <c r="CH128" s="42"/>
      <c r="CI128" s="43"/>
      <c r="CJ128" s="37"/>
      <c r="CK128" s="37"/>
      <c r="CL128" s="37"/>
      <c r="CM128" s="37"/>
      <c r="CN128" s="37"/>
      <c r="CO128" s="37"/>
      <c r="CP128" s="37"/>
      <c r="CQ128" s="37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44"/>
    </row>
    <row r="129" spans="1:114" ht="12.75" hidden="1" outlineLevel="1">
      <c r="A129" s="4"/>
      <c r="B129" s="63"/>
      <c r="C129" s="52"/>
      <c r="D129" s="52"/>
      <c r="E129" s="61"/>
      <c r="F129" s="61"/>
      <c r="G129" s="52"/>
      <c r="H129" s="63"/>
      <c r="I129" s="63"/>
      <c r="J129" s="65"/>
      <c r="K129" s="65"/>
      <c r="L129" s="65"/>
      <c r="M129" s="65"/>
      <c r="N129" s="65"/>
      <c r="O129" s="65"/>
      <c r="P129" s="65"/>
      <c r="Q129" s="65"/>
      <c r="R129" s="65"/>
      <c r="S129" s="68"/>
      <c r="T129" s="68"/>
      <c r="U129" s="65"/>
      <c r="V129" s="92"/>
      <c r="W129" s="92"/>
      <c r="X129" s="71"/>
      <c r="Y129" s="72"/>
      <c r="Z129" s="72"/>
      <c r="AA129" s="72"/>
      <c r="AB129" s="72"/>
      <c r="AC129" s="72"/>
      <c r="AD129" s="72"/>
      <c r="AE129" s="68"/>
      <c r="AF129" s="73"/>
      <c r="AG129" s="73"/>
      <c r="AH129" s="73"/>
      <c r="AI129" s="73"/>
      <c r="AJ129" s="73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129"/>
      <c r="CA129" s="129"/>
      <c r="CB129" s="129"/>
      <c r="CC129" s="129"/>
      <c r="CD129" s="129"/>
      <c r="CE129" s="129"/>
      <c r="CF129" s="129"/>
      <c r="CG129" s="37"/>
      <c r="CH129" s="42"/>
      <c r="CI129" s="43"/>
      <c r="CJ129" s="37"/>
      <c r="CK129" s="37"/>
      <c r="CL129" s="37"/>
      <c r="CM129" s="37"/>
      <c r="CN129" s="37"/>
      <c r="CO129" s="37"/>
      <c r="CP129" s="37"/>
      <c r="CQ129" s="37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44"/>
    </row>
    <row r="130" spans="1:114" ht="12.75" hidden="1" outlineLevel="1">
      <c r="A130" s="4"/>
      <c r="B130" s="63"/>
      <c r="C130" s="52"/>
      <c r="D130" s="52"/>
      <c r="E130" s="61"/>
      <c r="F130" s="61"/>
      <c r="G130" s="52"/>
      <c r="H130" s="63"/>
      <c r="I130" s="63"/>
      <c r="J130" s="65"/>
      <c r="K130" s="65"/>
      <c r="L130" s="65"/>
      <c r="M130" s="65"/>
      <c r="N130" s="65"/>
      <c r="O130" s="65"/>
      <c r="P130" s="65"/>
      <c r="Q130" s="65"/>
      <c r="R130" s="65"/>
      <c r="S130" s="68"/>
      <c r="T130" s="68"/>
      <c r="U130" s="65"/>
      <c r="V130" s="92"/>
      <c r="W130" s="92"/>
      <c r="X130" s="71"/>
      <c r="Y130" s="72"/>
      <c r="Z130" s="72"/>
      <c r="AA130" s="72"/>
      <c r="AB130" s="72"/>
      <c r="AC130" s="72"/>
      <c r="AD130" s="72"/>
      <c r="AE130" s="68"/>
      <c r="AF130" s="73"/>
      <c r="AG130" s="73"/>
      <c r="AH130" s="73"/>
      <c r="AI130" s="73"/>
      <c r="AJ130" s="73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129"/>
      <c r="CA130" s="129"/>
      <c r="CB130" s="129"/>
      <c r="CC130" s="129"/>
      <c r="CD130" s="129"/>
      <c r="CE130" s="129"/>
      <c r="CF130" s="129"/>
      <c r="CG130" s="37"/>
      <c r="CH130" s="42"/>
      <c r="CI130" s="43"/>
      <c r="CJ130" s="37"/>
      <c r="CK130" s="37"/>
      <c r="CL130" s="37"/>
      <c r="CM130" s="37"/>
      <c r="CN130" s="37"/>
      <c r="CO130" s="37"/>
      <c r="CP130" s="37"/>
      <c r="CQ130" s="37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44"/>
    </row>
    <row r="131" spans="1:114" ht="12.75" hidden="1" outlineLevel="1">
      <c r="A131" s="4"/>
      <c r="B131" s="63"/>
      <c r="C131" s="52"/>
      <c r="D131" s="52"/>
      <c r="E131" s="61"/>
      <c r="F131" s="61"/>
      <c r="G131" s="52"/>
      <c r="H131" s="63"/>
      <c r="I131" s="63"/>
      <c r="J131" s="65"/>
      <c r="K131" s="65"/>
      <c r="L131" s="65"/>
      <c r="M131" s="65"/>
      <c r="N131" s="65"/>
      <c r="O131" s="65"/>
      <c r="P131" s="65"/>
      <c r="Q131" s="65"/>
      <c r="R131" s="65"/>
      <c r="S131" s="68"/>
      <c r="T131" s="68"/>
      <c r="U131" s="65"/>
      <c r="V131" s="92"/>
      <c r="W131" s="92"/>
      <c r="X131" s="71"/>
      <c r="Y131" s="72"/>
      <c r="Z131" s="72"/>
      <c r="AA131" s="72"/>
      <c r="AB131" s="72"/>
      <c r="AC131" s="72"/>
      <c r="AD131" s="72"/>
      <c r="AE131" s="68"/>
      <c r="AF131" s="73"/>
      <c r="AG131" s="73"/>
      <c r="AH131" s="73"/>
      <c r="AI131" s="73"/>
      <c r="AJ131" s="73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129"/>
      <c r="CA131" s="129"/>
      <c r="CB131" s="129"/>
      <c r="CC131" s="129"/>
      <c r="CD131" s="129"/>
      <c r="CE131" s="129"/>
      <c r="CF131" s="129"/>
      <c r="CG131" s="37"/>
      <c r="CH131" s="42"/>
      <c r="CI131" s="43"/>
      <c r="CJ131" s="37"/>
      <c r="CK131" s="37"/>
      <c r="CL131" s="37"/>
      <c r="CM131" s="37"/>
      <c r="CN131" s="37"/>
      <c r="CO131" s="37"/>
      <c r="CP131" s="37"/>
      <c r="CQ131" s="37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44"/>
    </row>
    <row r="132" spans="1:114" ht="12.75" hidden="1" outlineLevel="1">
      <c r="A132" s="4"/>
      <c r="B132" s="63"/>
      <c r="C132" s="52"/>
      <c r="D132" s="52"/>
      <c r="E132" s="61"/>
      <c r="F132" s="61"/>
      <c r="G132" s="52"/>
      <c r="H132" s="63"/>
      <c r="I132" s="63"/>
      <c r="J132" s="65"/>
      <c r="K132" s="65"/>
      <c r="L132" s="65"/>
      <c r="M132" s="65"/>
      <c r="N132" s="65"/>
      <c r="O132" s="65"/>
      <c r="P132" s="65"/>
      <c r="Q132" s="65"/>
      <c r="R132" s="65"/>
      <c r="S132" s="68"/>
      <c r="T132" s="68"/>
      <c r="U132" s="65"/>
      <c r="V132" s="92"/>
      <c r="W132" s="92"/>
      <c r="X132" s="71"/>
      <c r="Y132" s="72"/>
      <c r="Z132" s="72"/>
      <c r="AA132" s="72"/>
      <c r="AB132" s="72"/>
      <c r="AC132" s="72"/>
      <c r="AD132" s="72"/>
      <c r="AE132" s="68"/>
      <c r="AF132" s="73"/>
      <c r="AG132" s="73"/>
      <c r="AH132" s="73"/>
      <c r="AI132" s="73"/>
      <c r="AJ132" s="73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129"/>
      <c r="CA132" s="129"/>
      <c r="CB132" s="129"/>
      <c r="CC132" s="129"/>
      <c r="CD132" s="129"/>
      <c r="CE132" s="129"/>
      <c r="CF132" s="129"/>
      <c r="CG132" s="37"/>
      <c r="CH132" s="42"/>
      <c r="CI132" s="43"/>
      <c r="CJ132" s="37"/>
      <c r="CK132" s="37"/>
      <c r="CL132" s="37"/>
      <c r="CM132" s="37"/>
      <c r="CN132" s="37"/>
      <c r="CO132" s="37"/>
      <c r="CP132" s="37"/>
      <c r="CQ132" s="37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44"/>
    </row>
    <row r="133" spans="1:114" ht="12.75" hidden="1" outlineLevel="1">
      <c r="A133" s="4"/>
      <c r="B133" s="63"/>
      <c r="C133" s="52"/>
      <c r="D133" s="52"/>
      <c r="E133" s="61"/>
      <c r="F133" s="61"/>
      <c r="G133" s="52"/>
      <c r="H133" s="63"/>
      <c r="I133" s="63"/>
      <c r="J133" s="65"/>
      <c r="K133" s="65"/>
      <c r="L133" s="65"/>
      <c r="M133" s="65"/>
      <c r="N133" s="65"/>
      <c r="O133" s="65"/>
      <c r="P133" s="65"/>
      <c r="Q133" s="65"/>
      <c r="R133" s="65"/>
      <c r="S133" s="68"/>
      <c r="T133" s="68"/>
      <c r="U133" s="65"/>
      <c r="V133" s="92"/>
      <c r="W133" s="92"/>
      <c r="X133" s="71"/>
      <c r="Y133" s="72"/>
      <c r="Z133" s="72"/>
      <c r="AA133" s="72"/>
      <c r="AB133" s="72"/>
      <c r="AC133" s="72"/>
      <c r="AD133" s="72"/>
      <c r="AE133" s="68"/>
      <c r="AF133" s="73"/>
      <c r="AG133" s="73"/>
      <c r="AH133" s="73"/>
      <c r="AI133" s="73"/>
      <c r="AJ133" s="73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129"/>
      <c r="CA133" s="129"/>
      <c r="CB133" s="129"/>
      <c r="CC133" s="129"/>
      <c r="CD133" s="129"/>
      <c r="CE133" s="129"/>
      <c r="CF133" s="129"/>
      <c r="CG133" s="37"/>
      <c r="CH133" s="42"/>
      <c r="CI133" s="43"/>
      <c r="CJ133" s="37"/>
      <c r="CK133" s="37"/>
      <c r="CL133" s="37"/>
      <c r="CM133" s="37"/>
      <c r="CN133" s="37"/>
      <c r="CO133" s="37"/>
      <c r="CP133" s="37"/>
      <c r="CQ133" s="37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44"/>
    </row>
    <row r="134" spans="1:114" ht="12.75" hidden="1" outlineLevel="1">
      <c r="A134" s="4"/>
      <c r="B134" s="63"/>
      <c r="C134" s="52"/>
      <c r="D134" s="52"/>
      <c r="E134" s="61"/>
      <c r="F134" s="61"/>
      <c r="G134" s="52"/>
      <c r="H134" s="63"/>
      <c r="I134" s="63"/>
      <c r="J134" s="65"/>
      <c r="K134" s="65"/>
      <c r="L134" s="65"/>
      <c r="M134" s="65"/>
      <c r="N134" s="65"/>
      <c r="O134" s="65"/>
      <c r="P134" s="65"/>
      <c r="Q134" s="65"/>
      <c r="R134" s="65"/>
      <c r="S134" s="68"/>
      <c r="T134" s="68"/>
      <c r="U134" s="65"/>
      <c r="V134" s="92"/>
      <c r="W134" s="92"/>
      <c r="X134" s="71"/>
      <c r="Y134" s="72"/>
      <c r="Z134" s="72"/>
      <c r="AA134" s="72"/>
      <c r="AB134" s="72"/>
      <c r="AC134" s="72"/>
      <c r="AD134" s="72"/>
      <c r="AE134" s="68"/>
      <c r="AF134" s="73"/>
      <c r="AG134" s="73"/>
      <c r="AH134" s="73"/>
      <c r="AI134" s="73"/>
      <c r="AJ134" s="73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129"/>
      <c r="CA134" s="129"/>
      <c r="CB134" s="129"/>
      <c r="CC134" s="129"/>
      <c r="CD134" s="129"/>
      <c r="CE134" s="129"/>
      <c r="CF134" s="129"/>
      <c r="CG134" s="37"/>
      <c r="CH134" s="42"/>
      <c r="CI134" s="43"/>
      <c r="CJ134" s="37"/>
      <c r="CK134" s="37"/>
      <c r="CL134" s="37"/>
      <c r="CM134" s="37"/>
      <c r="CN134" s="37"/>
      <c r="CO134" s="37"/>
      <c r="CP134" s="37"/>
      <c r="CQ134" s="37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44"/>
    </row>
    <row r="135" spans="1:114" ht="12.75" hidden="1" outlineLevel="1">
      <c r="A135" s="4"/>
      <c r="B135" s="63"/>
      <c r="C135" s="52"/>
      <c r="D135" s="52"/>
      <c r="E135" s="61"/>
      <c r="F135" s="61"/>
      <c r="G135" s="52"/>
      <c r="H135" s="63"/>
      <c r="I135" s="63"/>
      <c r="J135" s="65"/>
      <c r="K135" s="65"/>
      <c r="L135" s="65"/>
      <c r="M135" s="65"/>
      <c r="N135" s="65"/>
      <c r="O135" s="65"/>
      <c r="P135" s="65"/>
      <c r="Q135" s="65"/>
      <c r="R135" s="65"/>
      <c r="S135" s="68"/>
      <c r="T135" s="68"/>
      <c r="U135" s="65"/>
      <c r="V135" s="92"/>
      <c r="W135" s="92"/>
      <c r="X135" s="71"/>
      <c r="Y135" s="72"/>
      <c r="Z135" s="72"/>
      <c r="AA135" s="72"/>
      <c r="AB135" s="72"/>
      <c r="AC135" s="72"/>
      <c r="AD135" s="72"/>
      <c r="AE135" s="68"/>
      <c r="AF135" s="73"/>
      <c r="AG135" s="73"/>
      <c r="AH135" s="73"/>
      <c r="AI135" s="73"/>
      <c r="AJ135" s="73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129"/>
      <c r="CA135" s="129"/>
      <c r="CB135" s="129"/>
      <c r="CC135" s="129"/>
      <c r="CD135" s="129"/>
      <c r="CE135" s="129"/>
      <c r="CF135" s="129"/>
      <c r="CG135" s="37"/>
      <c r="CH135" s="42"/>
      <c r="CI135" s="43"/>
      <c r="CJ135" s="37"/>
      <c r="CK135" s="37"/>
      <c r="CL135" s="37"/>
      <c r="CM135" s="37"/>
      <c r="CN135" s="37"/>
      <c r="CO135" s="37"/>
      <c r="CP135" s="37"/>
      <c r="CQ135" s="37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44"/>
    </row>
    <row r="136" spans="1:114" ht="12.75" hidden="1" outlineLevel="1">
      <c r="A136" s="4"/>
      <c r="B136" s="63"/>
      <c r="C136" s="52"/>
      <c r="D136" s="52"/>
      <c r="E136" s="61"/>
      <c r="F136" s="61"/>
      <c r="G136" s="52"/>
      <c r="H136" s="63"/>
      <c r="I136" s="63"/>
      <c r="J136" s="65"/>
      <c r="K136" s="65"/>
      <c r="L136" s="65"/>
      <c r="M136" s="65"/>
      <c r="N136" s="65"/>
      <c r="O136" s="65"/>
      <c r="P136" s="65"/>
      <c r="Q136" s="65"/>
      <c r="R136" s="65"/>
      <c r="S136" s="68"/>
      <c r="T136" s="68"/>
      <c r="U136" s="65"/>
      <c r="V136" s="92"/>
      <c r="W136" s="92"/>
      <c r="X136" s="71"/>
      <c r="Y136" s="72"/>
      <c r="Z136" s="72"/>
      <c r="AA136" s="72"/>
      <c r="AB136" s="72"/>
      <c r="AC136" s="72"/>
      <c r="AD136" s="72"/>
      <c r="AE136" s="68"/>
      <c r="AF136" s="73"/>
      <c r="AG136" s="73"/>
      <c r="AH136" s="73"/>
      <c r="AI136" s="73"/>
      <c r="AJ136" s="73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129"/>
      <c r="CA136" s="129"/>
      <c r="CB136" s="129"/>
      <c r="CC136" s="129"/>
      <c r="CD136" s="129"/>
      <c r="CE136" s="129"/>
      <c r="CF136" s="129"/>
      <c r="CG136" s="37"/>
      <c r="CH136" s="42"/>
      <c r="CI136" s="43"/>
      <c r="CJ136" s="37"/>
      <c r="CK136" s="37"/>
      <c r="CL136" s="37"/>
      <c r="CM136" s="37"/>
      <c r="CN136" s="37"/>
      <c r="CO136" s="37"/>
      <c r="CP136" s="37"/>
      <c r="CQ136" s="37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44"/>
    </row>
    <row r="137" spans="1:114" ht="12.75" hidden="1" outlineLevel="1">
      <c r="A137" s="4"/>
      <c r="B137" s="63"/>
      <c r="C137" s="52"/>
      <c r="D137" s="52"/>
      <c r="E137" s="61"/>
      <c r="F137" s="61"/>
      <c r="G137" s="52"/>
      <c r="H137" s="63"/>
      <c r="I137" s="63"/>
      <c r="J137" s="65"/>
      <c r="K137" s="65"/>
      <c r="L137" s="65"/>
      <c r="M137" s="65"/>
      <c r="N137" s="65"/>
      <c r="O137" s="65"/>
      <c r="P137" s="65"/>
      <c r="Q137" s="65"/>
      <c r="R137" s="65"/>
      <c r="S137" s="68"/>
      <c r="T137" s="68"/>
      <c r="U137" s="65"/>
      <c r="V137" s="92"/>
      <c r="W137" s="92"/>
      <c r="X137" s="71"/>
      <c r="Y137" s="72"/>
      <c r="Z137" s="72"/>
      <c r="AA137" s="72"/>
      <c r="AB137" s="72"/>
      <c r="AC137" s="72"/>
      <c r="AD137" s="72"/>
      <c r="AE137" s="68"/>
      <c r="AF137" s="73"/>
      <c r="AG137" s="73"/>
      <c r="AH137" s="73"/>
      <c r="AI137" s="73"/>
      <c r="AJ137" s="73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129"/>
      <c r="CA137" s="129"/>
      <c r="CB137" s="129"/>
      <c r="CC137" s="129"/>
      <c r="CD137" s="129"/>
      <c r="CE137" s="129"/>
      <c r="CF137" s="129"/>
      <c r="CG137" s="37"/>
      <c r="CH137" s="42"/>
      <c r="CI137" s="43"/>
      <c r="CJ137" s="37"/>
      <c r="CK137" s="37"/>
      <c r="CL137" s="37"/>
      <c r="CM137" s="37"/>
      <c r="CN137" s="37"/>
      <c r="CO137" s="37"/>
      <c r="CP137" s="37"/>
      <c r="CQ137" s="37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44"/>
    </row>
    <row r="138" spans="1:114" ht="12.75" hidden="1" outlineLevel="1">
      <c r="A138" s="4"/>
      <c r="B138" s="63"/>
      <c r="C138" s="52"/>
      <c r="D138" s="52"/>
      <c r="E138" s="61"/>
      <c r="F138" s="61"/>
      <c r="G138" s="52"/>
      <c r="H138" s="63"/>
      <c r="I138" s="63"/>
      <c r="J138" s="65"/>
      <c r="K138" s="65"/>
      <c r="L138" s="65"/>
      <c r="M138" s="65"/>
      <c r="N138" s="65"/>
      <c r="O138" s="65"/>
      <c r="P138" s="65"/>
      <c r="Q138" s="65"/>
      <c r="R138" s="65"/>
      <c r="S138" s="68"/>
      <c r="T138" s="68"/>
      <c r="U138" s="65"/>
      <c r="V138" s="92"/>
      <c r="W138" s="92"/>
      <c r="X138" s="71"/>
      <c r="Y138" s="72"/>
      <c r="Z138" s="72"/>
      <c r="AA138" s="72"/>
      <c r="AB138" s="72"/>
      <c r="AC138" s="72"/>
      <c r="AD138" s="72"/>
      <c r="AE138" s="68"/>
      <c r="AF138" s="73"/>
      <c r="AG138" s="73"/>
      <c r="AH138" s="73"/>
      <c r="AI138" s="73"/>
      <c r="AJ138" s="73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129"/>
      <c r="CA138" s="129"/>
      <c r="CB138" s="129"/>
      <c r="CC138" s="129"/>
      <c r="CD138" s="129"/>
      <c r="CE138" s="129"/>
      <c r="CF138" s="129"/>
      <c r="CG138" s="37"/>
      <c r="CH138" s="42"/>
      <c r="CI138" s="43"/>
      <c r="CJ138" s="37"/>
      <c r="CK138" s="37"/>
      <c r="CL138" s="37"/>
      <c r="CM138" s="37"/>
      <c r="CN138" s="37"/>
      <c r="CO138" s="37"/>
      <c r="CP138" s="37"/>
      <c r="CQ138" s="37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44"/>
    </row>
    <row r="139" spans="1:114" ht="12.75" hidden="1" outlineLevel="1">
      <c r="A139" s="4"/>
      <c r="B139" s="63"/>
      <c r="C139" s="52"/>
      <c r="D139" s="52"/>
      <c r="E139" s="61"/>
      <c r="F139" s="61"/>
      <c r="G139" s="52"/>
      <c r="H139" s="63"/>
      <c r="I139" s="63"/>
      <c r="J139" s="65"/>
      <c r="K139" s="65"/>
      <c r="L139" s="65"/>
      <c r="M139" s="65"/>
      <c r="N139" s="65"/>
      <c r="O139" s="65"/>
      <c r="P139" s="65"/>
      <c r="Q139" s="65"/>
      <c r="R139" s="65"/>
      <c r="S139" s="68"/>
      <c r="T139" s="68"/>
      <c r="U139" s="65"/>
      <c r="V139" s="92"/>
      <c r="W139" s="92"/>
      <c r="X139" s="71"/>
      <c r="Y139" s="72"/>
      <c r="Z139" s="72"/>
      <c r="AA139" s="72"/>
      <c r="AB139" s="72"/>
      <c r="AC139" s="72"/>
      <c r="AD139" s="72"/>
      <c r="AE139" s="68"/>
      <c r="AF139" s="73"/>
      <c r="AG139" s="73"/>
      <c r="AH139" s="73"/>
      <c r="AI139" s="73"/>
      <c r="AJ139" s="73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129"/>
      <c r="CA139" s="129"/>
      <c r="CB139" s="129"/>
      <c r="CC139" s="129"/>
      <c r="CD139" s="129"/>
      <c r="CE139" s="129"/>
      <c r="CF139" s="129"/>
      <c r="CG139" s="37"/>
      <c r="CH139" s="42"/>
      <c r="CI139" s="43"/>
      <c r="CJ139" s="37"/>
      <c r="CK139" s="37"/>
      <c r="CL139" s="37"/>
      <c r="CM139" s="37"/>
      <c r="CN139" s="37"/>
      <c r="CO139" s="37"/>
      <c r="CP139" s="37"/>
      <c r="CQ139" s="37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44"/>
    </row>
    <row r="140" spans="1:114" ht="12.75" hidden="1" outlineLevel="1">
      <c r="A140" s="4"/>
      <c r="B140" s="63"/>
      <c r="C140" s="52"/>
      <c r="D140" s="52"/>
      <c r="E140" s="61"/>
      <c r="F140" s="61"/>
      <c r="G140" s="52"/>
      <c r="H140" s="63"/>
      <c r="I140" s="63"/>
      <c r="J140" s="65"/>
      <c r="K140" s="65"/>
      <c r="L140" s="65"/>
      <c r="M140" s="65"/>
      <c r="N140" s="65"/>
      <c r="O140" s="65"/>
      <c r="P140" s="65"/>
      <c r="Q140" s="65"/>
      <c r="R140" s="65"/>
      <c r="S140" s="68"/>
      <c r="T140" s="68"/>
      <c r="U140" s="65"/>
      <c r="V140" s="92"/>
      <c r="W140" s="92"/>
      <c r="X140" s="71"/>
      <c r="Y140" s="72"/>
      <c r="Z140" s="72"/>
      <c r="AA140" s="72"/>
      <c r="AB140" s="72"/>
      <c r="AC140" s="72"/>
      <c r="AD140" s="72"/>
      <c r="AE140" s="68"/>
      <c r="AF140" s="73"/>
      <c r="AG140" s="73"/>
      <c r="AH140" s="73"/>
      <c r="AI140" s="73"/>
      <c r="AJ140" s="73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129"/>
      <c r="CA140" s="129"/>
      <c r="CB140" s="129"/>
      <c r="CC140" s="129"/>
      <c r="CD140" s="129"/>
      <c r="CE140" s="129"/>
      <c r="CF140" s="129"/>
      <c r="CG140" s="37"/>
      <c r="CH140" s="42"/>
      <c r="CI140" s="43"/>
      <c r="CJ140" s="37"/>
      <c r="CK140" s="37"/>
      <c r="CL140" s="37"/>
      <c r="CM140" s="37"/>
      <c r="CN140" s="37"/>
      <c r="CO140" s="37"/>
      <c r="CP140" s="37"/>
      <c r="CQ140" s="37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44"/>
    </row>
    <row r="141" spans="1:114" ht="12.75" hidden="1" outlineLevel="1">
      <c r="A141" s="4"/>
      <c r="B141" s="63"/>
      <c r="C141" s="52"/>
      <c r="D141" s="52"/>
      <c r="E141" s="61"/>
      <c r="F141" s="61"/>
      <c r="G141" s="52"/>
      <c r="H141" s="63"/>
      <c r="I141" s="63"/>
      <c r="J141" s="65"/>
      <c r="K141" s="65"/>
      <c r="L141" s="65"/>
      <c r="M141" s="65"/>
      <c r="N141" s="65"/>
      <c r="O141" s="65"/>
      <c r="P141" s="65"/>
      <c r="Q141" s="65"/>
      <c r="R141" s="65"/>
      <c r="S141" s="68"/>
      <c r="T141" s="68"/>
      <c r="U141" s="65"/>
      <c r="V141" s="92"/>
      <c r="W141" s="92"/>
      <c r="X141" s="71"/>
      <c r="Y141" s="72"/>
      <c r="Z141" s="72"/>
      <c r="AA141" s="72"/>
      <c r="AB141" s="72"/>
      <c r="AC141" s="72"/>
      <c r="AD141" s="72"/>
      <c r="AE141" s="68"/>
      <c r="AF141" s="73"/>
      <c r="AG141" s="73"/>
      <c r="AH141" s="73"/>
      <c r="AI141" s="73"/>
      <c r="AJ141" s="73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129"/>
      <c r="CA141" s="129"/>
      <c r="CB141" s="129"/>
      <c r="CC141" s="129"/>
      <c r="CD141" s="129"/>
      <c r="CE141" s="129"/>
      <c r="CF141" s="129"/>
      <c r="CG141" s="37"/>
      <c r="CH141" s="42"/>
      <c r="CI141" s="43"/>
      <c r="CJ141" s="37"/>
      <c r="CK141" s="37"/>
      <c r="CL141" s="37"/>
      <c r="CM141" s="37"/>
      <c r="CN141" s="37"/>
      <c r="CO141" s="37"/>
      <c r="CP141" s="37"/>
      <c r="CQ141" s="37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44"/>
    </row>
    <row r="142" spans="1:114" ht="12.75" hidden="1" outlineLevel="1">
      <c r="A142" s="4"/>
      <c r="B142" s="63"/>
      <c r="C142" s="52"/>
      <c r="D142" s="52"/>
      <c r="E142" s="61"/>
      <c r="F142" s="61"/>
      <c r="G142" s="52"/>
      <c r="H142" s="63"/>
      <c r="I142" s="63"/>
      <c r="J142" s="65"/>
      <c r="K142" s="65"/>
      <c r="L142" s="65"/>
      <c r="M142" s="65"/>
      <c r="N142" s="65"/>
      <c r="O142" s="65"/>
      <c r="P142" s="65"/>
      <c r="Q142" s="65"/>
      <c r="R142" s="65"/>
      <c r="S142" s="68"/>
      <c r="T142" s="68"/>
      <c r="U142" s="65"/>
      <c r="V142" s="92"/>
      <c r="W142" s="92"/>
      <c r="X142" s="71"/>
      <c r="Y142" s="72"/>
      <c r="Z142" s="72"/>
      <c r="AA142" s="72"/>
      <c r="AB142" s="72"/>
      <c r="AC142" s="72"/>
      <c r="AD142" s="72"/>
      <c r="AE142" s="68"/>
      <c r="AF142" s="73"/>
      <c r="AG142" s="73"/>
      <c r="AH142" s="73"/>
      <c r="AI142" s="73"/>
      <c r="AJ142" s="73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129"/>
      <c r="CA142" s="129"/>
      <c r="CB142" s="129"/>
      <c r="CC142" s="129"/>
      <c r="CD142" s="129"/>
      <c r="CE142" s="129"/>
      <c r="CF142" s="129"/>
      <c r="CG142" s="37"/>
      <c r="CH142" s="42"/>
      <c r="CI142" s="43"/>
      <c r="CJ142" s="37"/>
      <c r="CK142" s="37"/>
      <c r="CL142" s="37"/>
      <c r="CM142" s="37"/>
      <c r="CN142" s="37"/>
      <c r="CO142" s="37"/>
      <c r="CP142" s="37"/>
      <c r="CQ142" s="37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44"/>
    </row>
    <row r="143" spans="1:114" ht="12.75" hidden="1" outlineLevel="1">
      <c r="A143" s="4"/>
      <c r="B143" s="63"/>
      <c r="C143" s="52"/>
      <c r="D143" s="52"/>
      <c r="E143" s="61"/>
      <c r="F143" s="61"/>
      <c r="G143" s="52"/>
      <c r="H143" s="63"/>
      <c r="I143" s="63"/>
      <c r="J143" s="65"/>
      <c r="K143" s="65"/>
      <c r="L143" s="65"/>
      <c r="M143" s="65"/>
      <c r="N143" s="65"/>
      <c r="O143" s="65"/>
      <c r="P143" s="65"/>
      <c r="Q143" s="65"/>
      <c r="R143" s="65"/>
      <c r="S143" s="68"/>
      <c r="T143" s="68"/>
      <c r="U143" s="65"/>
      <c r="V143" s="92"/>
      <c r="W143" s="92"/>
      <c r="X143" s="71"/>
      <c r="Y143" s="72"/>
      <c r="Z143" s="72"/>
      <c r="AA143" s="72"/>
      <c r="AB143" s="72"/>
      <c r="AC143" s="72"/>
      <c r="AD143" s="72"/>
      <c r="AE143" s="68"/>
      <c r="AF143" s="73"/>
      <c r="AG143" s="73"/>
      <c r="AH143" s="73"/>
      <c r="AI143" s="73"/>
      <c r="AJ143" s="73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129"/>
      <c r="CA143" s="129"/>
      <c r="CB143" s="129"/>
      <c r="CC143" s="129"/>
      <c r="CD143" s="129"/>
      <c r="CE143" s="129"/>
      <c r="CF143" s="129"/>
      <c r="CG143" s="37"/>
      <c r="CH143" s="42"/>
      <c r="CI143" s="43"/>
      <c r="CJ143" s="37"/>
      <c r="CK143" s="37"/>
      <c r="CL143" s="37"/>
      <c r="CM143" s="37"/>
      <c r="CN143" s="37"/>
      <c r="CO143" s="37"/>
      <c r="CP143" s="37"/>
      <c r="CQ143" s="37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44"/>
    </row>
    <row r="144" spans="1:114" ht="12.75" hidden="1" outlineLevel="1">
      <c r="A144" s="4"/>
      <c r="B144" s="63"/>
      <c r="C144" s="52"/>
      <c r="D144" s="52"/>
      <c r="E144" s="61"/>
      <c r="F144" s="61"/>
      <c r="G144" s="132"/>
      <c r="H144" s="63"/>
      <c r="I144" s="63"/>
      <c r="J144" s="88"/>
      <c r="K144" s="88"/>
      <c r="L144" s="88"/>
      <c r="M144" s="65"/>
      <c r="N144" s="65"/>
      <c r="O144" s="88"/>
      <c r="P144" s="88"/>
      <c r="Q144" s="88"/>
      <c r="R144" s="88"/>
      <c r="S144" s="68"/>
      <c r="T144" s="68"/>
      <c r="U144" s="88"/>
      <c r="V144" s="68"/>
      <c r="W144" s="68"/>
      <c r="X144" s="71"/>
      <c r="Y144" s="72"/>
      <c r="Z144" s="72"/>
      <c r="AA144" s="72"/>
      <c r="AB144" s="72"/>
      <c r="AC144" s="72"/>
      <c r="AD144" s="72"/>
      <c r="AE144" s="68"/>
      <c r="AF144" s="68"/>
      <c r="AG144" s="68"/>
      <c r="AH144" s="68"/>
      <c r="AI144" s="68"/>
      <c r="AJ144" s="73"/>
      <c r="AK144" s="88"/>
      <c r="AL144" s="88"/>
      <c r="AM144" s="88"/>
      <c r="AN144" s="88"/>
      <c r="AO144" s="88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129"/>
      <c r="CA144" s="129"/>
      <c r="CB144" s="129"/>
      <c r="CC144" s="129"/>
      <c r="CD144" s="129"/>
      <c r="CE144" s="129"/>
      <c r="CF144" s="129"/>
      <c r="CG144" s="37"/>
      <c r="CH144" s="42"/>
      <c r="CI144" s="43"/>
      <c r="CJ144" s="37"/>
      <c r="CK144" s="37"/>
      <c r="CL144" s="37"/>
      <c r="CM144" s="37"/>
      <c r="CN144" s="37"/>
      <c r="CO144" s="37"/>
      <c r="CP144" s="37"/>
      <c r="CQ144" s="37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44"/>
    </row>
    <row r="145" spans="1:114" ht="12.75" hidden="1" outlineLevel="1">
      <c r="A145" s="4"/>
      <c r="B145" s="63"/>
      <c r="C145" s="52"/>
      <c r="D145" s="52"/>
      <c r="E145" s="61"/>
      <c r="F145" s="61"/>
      <c r="G145" s="52"/>
      <c r="H145" s="63"/>
      <c r="I145" s="63"/>
      <c r="J145" s="65"/>
      <c r="K145" s="65"/>
      <c r="L145" s="65"/>
      <c r="M145" s="65"/>
      <c r="N145" s="65"/>
      <c r="O145" s="65"/>
      <c r="P145" s="65"/>
      <c r="Q145" s="65"/>
      <c r="R145" s="65"/>
      <c r="S145" s="68"/>
      <c r="T145" s="68"/>
      <c r="U145" s="65"/>
      <c r="V145" s="92"/>
      <c r="W145" s="92"/>
      <c r="X145" s="71"/>
      <c r="Y145" s="72"/>
      <c r="Z145" s="72"/>
      <c r="AA145" s="72"/>
      <c r="AB145" s="72"/>
      <c r="AC145" s="72"/>
      <c r="AD145" s="72"/>
      <c r="AE145" s="68"/>
      <c r="AF145" s="73"/>
      <c r="AG145" s="73"/>
      <c r="AH145" s="73"/>
      <c r="AI145" s="73"/>
      <c r="AJ145" s="73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129"/>
      <c r="CA145" s="129"/>
      <c r="CB145" s="129"/>
      <c r="CC145" s="129"/>
      <c r="CD145" s="129"/>
      <c r="CE145" s="129"/>
      <c r="CF145" s="129"/>
      <c r="CG145" s="37"/>
      <c r="CH145" s="42"/>
      <c r="CI145" s="43"/>
      <c r="CJ145" s="37"/>
      <c r="CK145" s="37"/>
      <c r="CL145" s="37"/>
      <c r="CM145" s="37"/>
      <c r="CN145" s="37"/>
      <c r="CO145" s="37"/>
      <c r="CP145" s="37"/>
      <c r="CQ145" s="37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44"/>
    </row>
    <row r="146" spans="1:114" ht="12.75" hidden="1" outlineLevel="1">
      <c r="A146" s="4"/>
      <c r="B146" s="63"/>
      <c r="C146" s="52"/>
      <c r="D146" s="52"/>
      <c r="E146" s="61"/>
      <c r="F146" s="61"/>
      <c r="G146" s="52"/>
      <c r="H146" s="63"/>
      <c r="I146" s="63"/>
      <c r="J146" s="65"/>
      <c r="K146" s="65"/>
      <c r="L146" s="65"/>
      <c r="M146" s="65"/>
      <c r="N146" s="65"/>
      <c r="O146" s="65"/>
      <c r="P146" s="65"/>
      <c r="Q146" s="65"/>
      <c r="R146" s="65"/>
      <c r="S146" s="68"/>
      <c r="T146" s="68"/>
      <c r="U146" s="65"/>
      <c r="V146" s="92"/>
      <c r="W146" s="92"/>
      <c r="X146" s="71"/>
      <c r="Y146" s="72"/>
      <c r="Z146" s="72"/>
      <c r="AA146" s="72"/>
      <c r="AB146" s="72"/>
      <c r="AC146" s="72"/>
      <c r="AD146" s="72"/>
      <c r="AE146" s="68"/>
      <c r="AF146" s="73"/>
      <c r="AG146" s="73"/>
      <c r="AH146" s="73"/>
      <c r="AI146" s="73"/>
      <c r="AJ146" s="73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129"/>
      <c r="CA146" s="129"/>
      <c r="CB146" s="129"/>
      <c r="CC146" s="129"/>
      <c r="CD146" s="129"/>
      <c r="CE146" s="129"/>
      <c r="CF146" s="129"/>
      <c r="CG146" s="37"/>
      <c r="CH146" s="42"/>
      <c r="CI146" s="43"/>
      <c r="CJ146" s="37"/>
      <c r="CK146" s="37"/>
      <c r="CL146" s="37"/>
      <c r="CM146" s="37"/>
      <c r="CN146" s="37"/>
      <c r="CO146" s="37"/>
      <c r="CP146" s="37"/>
      <c r="CQ146" s="37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44"/>
    </row>
    <row r="147" spans="1:114" ht="12.75" hidden="1" outlineLevel="1">
      <c r="A147" s="4"/>
      <c r="B147" s="63"/>
      <c r="C147" s="52"/>
      <c r="D147" s="52"/>
      <c r="E147" s="61"/>
      <c r="F147" s="61"/>
      <c r="G147" s="52"/>
      <c r="H147" s="63"/>
      <c r="I147" s="63"/>
      <c r="J147" s="65"/>
      <c r="K147" s="65"/>
      <c r="L147" s="65"/>
      <c r="M147" s="65"/>
      <c r="N147" s="65"/>
      <c r="O147" s="65"/>
      <c r="P147" s="65"/>
      <c r="Q147" s="65"/>
      <c r="R147" s="65"/>
      <c r="S147" s="68"/>
      <c r="T147" s="68"/>
      <c r="U147" s="65"/>
      <c r="V147" s="92"/>
      <c r="W147" s="92"/>
      <c r="X147" s="71"/>
      <c r="Y147" s="72"/>
      <c r="Z147" s="72"/>
      <c r="AA147" s="72"/>
      <c r="AB147" s="72"/>
      <c r="AC147" s="72"/>
      <c r="AD147" s="72"/>
      <c r="AE147" s="68"/>
      <c r="AF147" s="73"/>
      <c r="AG147" s="73"/>
      <c r="AH147" s="73"/>
      <c r="AI147" s="73"/>
      <c r="AJ147" s="73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129"/>
      <c r="CA147" s="129"/>
      <c r="CB147" s="129"/>
      <c r="CC147" s="129"/>
      <c r="CD147" s="129"/>
      <c r="CE147" s="129"/>
      <c r="CF147" s="129"/>
      <c r="CG147" s="37"/>
      <c r="CH147" s="42"/>
      <c r="CI147" s="43"/>
      <c r="CJ147" s="37"/>
      <c r="CK147" s="37"/>
      <c r="CL147" s="37"/>
      <c r="CM147" s="37"/>
      <c r="CN147" s="37"/>
      <c r="CO147" s="37"/>
      <c r="CP147" s="37"/>
      <c r="CQ147" s="37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44"/>
    </row>
    <row r="148" spans="1:114" ht="12.75" hidden="1" outlineLevel="1">
      <c r="A148" s="4"/>
      <c r="B148" s="63"/>
      <c r="C148" s="52"/>
      <c r="D148" s="52"/>
      <c r="E148" s="61"/>
      <c r="F148" s="61"/>
      <c r="G148" s="52"/>
      <c r="H148" s="63"/>
      <c r="I148" s="63"/>
      <c r="J148" s="65"/>
      <c r="K148" s="65"/>
      <c r="L148" s="65"/>
      <c r="M148" s="65"/>
      <c r="N148" s="65"/>
      <c r="O148" s="65"/>
      <c r="P148" s="65"/>
      <c r="Q148" s="65"/>
      <c r="R148" s="65"/>
      <c r="S148" s="68"/>
      <c r="T148" s="68"/>
      <c r="U148" s="65"/>
      <c r="V148" s="92"/>
      <c r="W148" s="92"/>
      <c r="X148" s="71"/>
      <c r="Y148" s="72"/>
      <c r="Z148" s="72"/>
      <c r="AA148" s="72"/>
      <c r="AB148" s="72"/>
      <c r="AC148" s="72"/>
      <c r="AD148" s="72"/>
      <c r="AE148" s="68"/>
      <c r="AF148" s="73"/>
      <c r="AG148" s="73"/>
      <c r="AH148" s="73"/>
      <c r="AI148" s="73"/>
      <c r="AJ148" s="73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129"/>
      <c r="CA148" s="129"/>
      <c r="CB148" s="129"/>
      <c r="CC148" s="129"/>
      <c r="CD148" s="129"/>
      <c r="CE148" s="129"/>
      <c r="CF148" s="129"/>
      <c r="CG148" s="37"/>
      <c r="CH148" s="42"/>
      <c r="CI148" s="43"/>
      <c r="CJ148" s="37"/>
      <c r="CK148" s="37"/>
      <c r="CL148" s="37"/>
      <c r="CM148" s="37"/>
      <c r="CN148" s="37"/>
      <c r="CO148" s="37"/>
      <c r="CP148" s="37"/>
      <c r="CQ148" s="37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44"/>
    </row>
    <row r="149" spans="1:114" ht="12.75" hidden="1" outlineLevel="1">
      <c r="A149" s="4"/>
      <c r="B149" s="63"/>
      <c r="C149" s="52"/>
      <c r="D149" s="52"/>
      <c r="E149" s="61"/>
      <c r="F149" s="61"/>
      <c r="G149" s="52"/>
      <c r="H149" s="63"/>
      <c r="I149" s="63"/>
      <c r="J149" s="65"/>
      <c r="K149" s="65"/>
      <c r="L149" s="65"/>
      <c r="M149" s="65"/>
      <c r="N149" s="65"/>
      <c r="O149" s="65"/>
      <c r="P149" s="65"/>
      <c r="Q149" s="65"/>
      <c r="R149" s="65"/>
      <c r="S149" s="68"/>
      <c r="T149" s="68"/>
      <c r="U149" s="65"/>
      <c r="V149" s="92"/>
      <c r="W149" s="92"/>
      <c r="X149" s="71"/>
      <c r="Y149" s="72"/>
      <c r="Z149" s="72"/>
      <c r="AA149" s="72"/>
      <c r="AB149" s="72"/>
      <c r="AC149" s="72"/>
      <c r="AD149" s="72"/>
      <c r="AE149" s="68"/>
      <c r="AF149" s="73"/>
      <c r="AG149" s="73"/>
      <c r="AH149" s="73"/>
      <c r="AI149" s="73"/>
      <c r="AJ149" s="73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129"/>
      <c r="CA149" s="129"/>
      <c r="CB149" s="129"/>
      <c r="CC149" s="129"/>
      <c r="CD149" s="129"/>
      <c r="CE149" s="129"/>
      <c r="CF149" s="129"/>
      <c r="CG149" s="37"/>
      <c r="CH149" s="42"/>
      <c r="CI149" s="43"/>
      <c r="CJ149" s="37"/>
      <c r="CK149" s="37"/>
      <c r="CL149" s="37"/>
      <c r="CM149" s="37"/>
      <c r="CN149" s="37"/>
      <c r="CO149" s="37"/>
      <c r="CP149" s="37"/>
      <c r="CQ149" s="37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44"/>
    </row>
    <row r="150" spans="1:114" ht="12.75" hidden="1" outlineLevel="1">
      <c r="A150" s="4"/>
      <c r="B150" s="63"/>
      <c r="C150" s="52"/>
      <c r="D150" s="52"/>
      <c r="E150" s="61"/>
      <c r="F150" s="61"/>
      <c r="G150" s="52"/>
      <c r="H150" s="63"/>
      <c r="I150" s="63"/>
      <c r="J150" s="65"/>
      <c r="K150" s="65"/>
      <c r="L150" s="65"/>
      <c r="M150" s="65"/>
      <c r="N150" s="65"/>
      <c r="O150" s="65"/>
      <c r="P150" s="65"/>
      <c r="Q150" s="65"/>
      <c r="R150" s="65"/>
      <c r="S150" s="68"/>
      <c r="T150" s="68"/>
      <c r="U150" s="65"/>
      <c r="V150" s="92"/>
      <c r="W150" s="92"/>
      <c r="X150" s="71"/>
      <c r="Y150" s="72"/>
      <c r="Z150" s="72"/>
      <c r="AA150" s="72"/>
      <c r="AB150" s="72"/>
      <c r="AC150" s="72"/>
      <c r="AD150" s="72"/>
      <c r="AE150" s="68"/>
      <c r="AF150" s="73"/>
      <c r="AG150" s="73"/>
      <c r="AH150" s="73"/>
      <c r="AI150" s="73"/>
      <c r="AJ150" s="73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129"/>
      <c r="CA150" s="129"/>
      <c r="CB150" s="129"/>
      <c r="CC150" s="129"/>
      <c r="CD150" s="129"/>
      <c r="CE150" s="129"/>
      <c r="CF150" s="129"/>
      <c r="CG150" s="37"/>
      <c r="CH150" s="42"/>
      <c r="CI150" s="43"/>
      <c r="CJ150" s="37"/>
      <c r="CK150" s="37"/>
      <c r="CL150" s="37"/>
      <c r="CM150" s="37"/>
      <c r="CN150" s="37"/>
      <c r="CO150" s="37"/>
      <c r="CP150" s="37"/>
      <c r="CQ150" s="37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44"/>
    </row>
    <row r="151" spans="1:114" ht="12.75" hidden="1" outlineLevel="1">
      <c r="A151" s="4"/>
      <c r="B151" s="63"/>
      <c r="C151" s="52"/>
      <c r="D151" s="52"/>
      <c r="E151" s="61"/>
      <c r="F151" s="61"/>
      <c r="G151" s="52"/>
      <c r="H151" s="63"/>
      <c r="I151" s="63"/>
      <c r="J151" s="65"/>
      <c r="K151" s="65"/>
      <c r="L151" s="65"/>
      <c r="M151" s="65"/>
      <c r="N151" s="65"/>
      <c r="O151" s="65"/>
      <c r="P151" s="65"/>
      <c r="Q151" s="65"/>
      <c r="R151" s="65"/>
      <c r="S151" s="68"/>
      <c r="T151" s="68"/>
      <c r="U151" s="65"/>
      <c r="V151" s="92"/>
      <c r="W151" s="92"/>
      <c r="X151" s="71"/>
      <c r="Y151" s="72"/>
      <c r="Z151" s="72"/>
      <c r="AA151" s="72"/>
      <c r="AB151" s="72"/>
      <c r="AC151" s="72"/>
      <c r="AD151" s="72"/>
      <c r="AE151" s="68"/>
      <c r="AF151" s="73"/>
      <c r="AG151" s="73"/>
      <c r="AH151" s="73"/>
      <c r="AI151" s="73"/>
      <c r="AJ151" s="73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129"/>
      <c r="CA151" s="129"/>
      <c r="CB151" s="129"/>
      <c r="CC151" s="129"/>
      <c r="CD151" s="129"/>
      <c r="CE151" s="129"/>
      <c r="CF151" s="129"/>
      <c r="CG151" s="37"/>
      <c r="CH151" s="42"/>
      <c r="CI151" s="43"/>
      <c r="CJ151" s="37"/>
      <c r="CK151" s="37"/>
      <c r="CL151" s="37"/>
      <c r="CM151" s="37"/>
      <c r="CN151" s="37"/>
      <c r="CO151" s="37"/>
      <c r="CP151" s="37"/>
      <c r="CQ151" s="37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44"/>
    </row>
    <row r="152" spans="1:114" ht="12.75" hidden="1" outlineLevel="1">
      <c r="A152" s="4"/>
      <c r="B152" s="63"/>
      <c r="C152" s="52"/>
      <c r="D152" s="52"/>
      <c r="E152" s="61"/>
      <c r="F152" s="61"/>
      <c r="G152" s="52"/>
      <c r="H152" s="63"/>
      <c r="I152" s="63"/>
      <c r="J152" s="65"/>
      <c r="K152" s="65"/>
      <c r="L152" s="65"/>
      <c r="M152" s="65"/>
      <c r="N152" s="65"/>
      <c r="O152" s="65"/>
      <c r="P152" s="65"/>
      <c r="Q152" s="65"/>
      <c r="R152" s="65"/>
      <c r="S152" s="68"/>
      <c r="T152" s="68"/>
      <c r="U152" s="65"/>
      <c r="V152" s="92"/>
      <c r="W152" s="92"/>
      <c r="X152" s="71"/>
      <c r="Y152" s="72"/>
      <c r="Z152" s="72"/>
      <c r="AA152" s="72"/>
      <c r="AB152" s="72"/>
      <c r="AC152" s="72"/>
      <c r="AD152" s="72"/>
      <c r="AE152" s="68"/>
      <c r="AF152" s="73"/>
      <c r="AG152" s="73"/>
      <c r="AH152" s="73"/>
      <c r="AI152" s="73"/>
      <c r="AJ152" s="73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129"/>
      <c r="CA152" s="129"/>
      <c r="CB152" s="129"/>
      <c r="CC152" s="129"/>
      <c r="CD152" s="129"/>
      <c r="CE152" s="129"/>
      <c r="CF152" s="129"/>
      <c r="CG152" s="37"/>
      <c r="CH152" s="42"/>
      <c r="CI152" s="43"/>
      <c r="CJ152" s="37"/>
      <c r="CK152" s="37"/>
      <c r="CL152" s="37"/>
      <c r="CM152" s="37"/>
      <c r="CN152" s="37"/>
      <c r="CO152" s="37"/>
      <c r="CP152" s="37"/>
      <c r="CQ152" s="37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44"/>
    </row>
    <row r="153" spans="1:114" ht="12.75" hidden="1" outlineLevel="1">
      <c r="A153" s="4"/>
      <c r="B153" s="63"/>
      <c r="C153" s="52"/>
      <c r="D153" s="52"/>
      <c r="E153" s="61"/>
      <c r="F153" s="61"/>
      <c r="G153" s="52"/>
      <c r="H153" s="63"/>
      <c r="I153" s="63"/>
      <c r="J153" s="65"/>
      <c r="K153" s="65"/>
      <c r="L153" s="65"/>
      <c r="M153" s="65"/>
      <c r="N153" s="65"/>
      <c r="O153" s="65"/>
      <c r="P153" s="65"/>
      <c r="Q153" s="65"/>
      <c r="R153" s="65"/>
      <c r="S153" s="68"/>
      <c r="T153" s="68"/>
      <c r="U153" s="65"/>
      <c r="V153" s="92"/>
      <c r="W153" s="92"/>
      <c r="X153" s="71"/>
      <c r="Y153" s="72"/>
      <c r="Z153" s="72"/>
      <c r="AA153" s="72"/>
      <c r="AB153" s="72"/>
      <c r="AC153" s="72"/>
      <c r="AD153" s="72"/>
      <c r="AE153" s="68"/>
      <c r="AF153" s="73"/>
      <c r="AG153" s="73"/>
      <c r="AH153" s="73"/>
      <c r="AI153" s="73"/>
      <c r="AJ153" s="73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129"/>
      <c r="CA153" s="129"/>
      <c r="CB153" s="129"/>
      <c r="CC153" s="129"/>
      <c r="CD153" s="129"/>
      <c r="CE153" s="129"/>
      <c r="CF153" s="129"/>
      <c r="CG153" s="37"/>
      <c r="CH153" s="42"/>
      <c r="CI153" s="43"/>
      <c r="CJ153" s="37"/>
      <c r="CK153" s="37"/>
      <c r="CL153" s="37"/>
      <c r="CM153" s="37"/>
      <c r="CN153" s="37"/>
      <c r="CO153" s="37"/>
      <c r="CP153" s="37"/>
      <c r="CQ153" s="37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44"/>
    </row>
    <row r="154" spans="1:114" ht="12.75" hidden="1" outlineLevel="1">
      <c r="A154" s="4"/>
      <c r="B154" s="63"/>
      <c r="C154" s="52"/>
      <c r="D154" s="52"/>
      <c r="E154" s="61"/>
      <c r="F154" s="61"/>
      <c r="G154" s="52"/>
      <c r="H154" s="63"/>
      <c r="I154" s="63"/>
      <c r="J154" s="65"/>
      <c r="K154" s="65"/>
      <c r="L154" s="65"/>
      <c r="M154" s="65"/>
      <c r="N154" s="65"/>
      <c r="O154" s="65"/>
      <c r="P154" s="65"/>
      <c r="Q154" s="65"/>
      <c r="R154" s="65"/>
      <c r="S154" s="68"/>
      <c r="T154" s="68"/>
      <c r="U154" s="65"/>
      <c r="V154" s="92"/>
      <c r="W154" s="92"/>
      <c r="X154" s="71"/>
      <c r="Y154" s="72"/>
      <c r="Z154" s="72"/>
      <c r="AA154" s="72"/>
      <c r="AB154" s="72"/>
      <c r="AC154" s="72"/>
      <c r="AD154" s="72"/>
      <c r="AE154" s="68"/>
      <c r="AF154" s="73"/>
      <c r="AG154" s="73"/>
      <c r="AH154" s="73"/>
      <c r="AI154" s="73"/>
      <c r="AJ154" s="73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129"/>
      <c r="CA154" s="129"/>
      <c r="CB154" s="129"/>
      <c r="CC154" s="129"/>
      <c r="CD154" s="129"/>
      <c r="CE154" s="129"/>
      <c r="CF154" s="129"/>
      <c r="CG154" s="37"/>
      <c r="CH154" s="42"/>
      <c r="CI154" s="43"/>
      <c r="CJ154" s="37"/>
      <c r="CK154" s="37"/>
      <c r="CL154" s="37"/>
      <c r="CM154" s="37"/>
      <c r="CN154" s="37"/>
      <c r="CO154" s="37"/>
      <c r="CP154" s="37"/>
      <c r="CQ154" s="37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44"/>
    </row>
    <row r="155" spans="1:114" ht="12.75" hidden="1" outlineLevel="1">
      <c r="A155" s="4"/>
      <c r="B155" s="63"/>
      <c r="C155" s="52"/>
      <c r="D155" s="52"/>
      <c r="E155" s="61"/>
      <c r="F155" s="61"/>
      <c r="G155" s="52"/>
      <c r="H155" s="63"/>
      <c r="I155" s="63"/>
      <c r="J155" s="65"/>
      <c r="K155" s="65"/>
      <c r="L155" s="65"/>
      <c r="M155" s="65"/>
      <c r="N155" s="65"/>
      <c r="O155" s="65"/>
      <c r="P155" s="65"/>
      <c r="Q155" s="65"/>
      <c r="R155" s="65"/>
      <c r="S155" s="68"/>
      <c r="T155" s="68"/>
      <c r="U155" s="65"/>
      <c r="V155" s="92"/>
      <c r="W155" s="92"/>
      <c r="X155" s="71"/>
      <c r="Y155" s="72"/>
      <c r="Z155" s="72"/>
      <c r="AA155" s="72"/>
      <c r="AB155" s="72"/>
      <c r="AC155" s="72"/>
      <c r="AD155" s="72"/>
      <c r="AE155" s="68"/>
      <c r="AF155" s="73"/>
      <c r="AG155" s="73"/>
      <c r="AH155" s="73"/>
      <c r="AI155" s="73"/>
      <c r="AJ155" s="73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129"/>
      <c r="CA155" s="129"/>
      <c r="CB155" s="129"/>
      <c r="CC155" s="129"/>
      <c r="CD155" s="129"/>
      <c r="CE155" s="129"/>
      <c r="CF155" s="129"/>
      <c r="CG155" s="37"/>
      <c r="CH155" s="42"/>
      <c r="CI155" s="43"/>
      <c r="CJ155" s="37"/>
      <c r="CK155" s="37"/>
      <c r="CL155" s="37"/>
      <c r="CM155" s="37"/>
      <c r="CN155" s="37"/>
      <c r="CO155" s="37"/>
      <c r="CP155" s="37"/>
      <c r="CQ155" s="37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44"/>
    </row>
    <row r="156" spans="1:114" ht="12.75" hidden="1" outlineLevel="1">
      <c r="A156" s="4"/>
      <c r="B156" s="63"/>
      <c r="C156" s="52"/>
      <c r="D156" s="52"/>
      <c r="E156" s="61"/>
      <c r="F156" s="61"/>
      <c r="G156" s="52"/>
      <c r="H156" s="63"/>
      <c r="I156" s="63"/>
      <c r="J156" s="65"/>
      <c r="K156" s="65"/>
      <c r="L156" s="65"/>
      <c r="M156" s="65"/>
      <c r="N156" s="65"/>
      <c r="O156" s="65"/>
      <c r="P156" s="65"/>
      <c r="Q156" s="65"/>
      <c r="R156" s="65"/>
      <c r="S156" s="68"/>
      <c r="T156" s="68"/>
      <c r="U156" s="65"/>
      <c r="V156" s="92"/>
      <c r="W156" s="92"/>
      <c r="X156" s="71"/>
      <c r="Y156" s="72"/>
      <c r="Z156" s="72"/>
      <c r="AA156" s="72"/>
      <c r="AB156" s="72"/>
      <c r="AC156" s="72"/>
      <c r="AD156" s="72"/>
      <c r="AE156" s="68"/>
      <c r="AF156" s="73"/>
      <c r="AG156" s="73"/>
      <c r="AH156" s="73"/>
      <c r="AI156" s="73"/>
      <c r="AJ156" s="73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129"/>
      <c r="CA156" s="129"/>
      <c r="CB156" s="129"/>
      <c r="CC156" s="129"/>
      <c r="CD156" s="129"/>
      <c r="CE156" s="129"/>
      <c r="CF156" s="129"/>
      <c r="CG156" s="37"/>
      <c r="CH156" s="42"/>
      <c r="CI156" s="43"/>
      <c r="CJ156" s="37"/>
      <c r="CK156" s="37"/>
      <c r="CL156" s="37"/>
      <c r="CM156" s="37"/>
      <c r="CN156" s="37"/>
      <c r="CO156" s="37"/>
      <c r="CP156" s="37"/>
      <c r="CQ156" s="37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44"/>
    </row>
    <row r="157" spans="1:114" ht="12.75" hidden="1" outlineLevel="1">
      <c r="A157" s="4"/>
      <c r="B157" s="63"/>
      <c r="C157" s="52"/>
      <c r="D157" s="52"/>
      <c r="E157" s="61"/>
      <c r="F157" s="61"/>
      <c r="G157" s="52"/>
      <c r="H157" s="63"/>
      <c r="I157" s="63"/>
      <c r="J157" s="65"/>
      <c r="K157" s="65"/>
      <c r="L157" s="65"/>
      <c r="M157" s="65"/>
      <c r="N157" s="65"/>
      <c r="O157" s="65"/>
      <c r="P157" s="65"/>
      <c r="Q157" s="65"/>
      <c r="R157" s="65"/>
      <c r="S157" s="68"/>
      <c r="T157" s="68"/>
      <c r="U157" s="65"/>
      <c r="V157" s="92"/>
      <c r="W157" s="92"/>
      <c r="X157" s="71"/>
      <c r="Y157" s="72"/>
      <c r="Z157" s="72"/>
      <c r="AA157" s="72"/>
      <c r="AB157" s="72"/>
      <c r="AC157" s="72"/>
      <c r="AD157" s="72"/>
      <c r="AE157" s="68"/>
      <c r="AF157" s="73"/>
      <c r="AG157" s="73"/>
      <c r="AH157" s="73"/>
      <c r="AI157" s="73"/>
      <c r="AJ157" s="73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129"/>
      <c r="CA157" s="129"/>
      <c r="CB157" s="129"/>
      <c r="CC157" s="129"/>
      <c r="CD157" s="129"/>
      <c r="CE157" s="129"/>
      <c r="CF157" s="129"/>
      <c r="CG157" s="37"/>
      <c r="CH157" s="42"/>
      <c r="CI157" s="43"/>
      <c r="CJ157" s="37"/>
      <c r="CK157" s="37"/>
      <c r="CL157" s="37"/>
      <c r="CM157" s="37"/>
      <c r="CN157" s="37"/>
      <c r="CO157" s="37"/>
      <c r="CP157" s="37"/>
      <c r="CQ157" s="37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44"/>
    </row>
    <row r="158" spans="1:114" ht="12.75" hidden="1" outlineLevel="1">
      <c r="A158" s="4"/>
      <c r="B158" s="63"/>
      <c r="C158" s="52"/>
      <c r="D158" s="52"/>
      <c r="E158" s="61"/>
      <c r="F158" s="61"/>
      <c r="G158" s="52"/>
      <c r="H158" s="63"/>
      <c r="I158" s="63"/>
      <c r="J158" s="65"/>
      <c r="K158" s="65"/>
      <c r="L158" s="65"/>
      <c r="M158" s="65"/>
      <c r="N158" s="65"/>
      <c r="O158" s="65"/>
      <c r="P158" s="65"/>
      <c r="Q158" s="65"/>
      <c r="R158" s="65"/>
      <c r="S158" s="68"/>
      <c r="T158" s="68"/>
      <c r="U158" s="65"/>
      <c r="V158" s="92"/>
      <c r="W158" s="92"/>
      <c r="X158" s="71"/>
      <c r="Y158" s="72"/>
      <c r="Z158" s="72"/>
      <c r="AA158" s="72"/>
      <c r="AB158" s="72"/>
      <c r="AC158" s="72"/>
      <c r="AD158" s="72"/>
      <c r="AE158" s="68"/>
      <c r="AF158" s="73"/>
      <c r="AG158" s="73"/>
      <c r="AH158" s="73"/>
      <c r="AI158" s="73"/>
      <c r="AJ158" s="73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129"/>
      <c r="CA158" s="129"/>
      <c r="CB158" s="129"/>
      <c r="CC158" s="129"/>
      <c r="CD158" s="129"/>
      <c r="CE158" s="129"/>
      <c r="CF158" s="129"/>
      <c r="CG158" s="37"/>
      <c r="CH158" s="42"/>
      <c r="CI158" s="43"/>
      <c r="CJ158" s="37"/>
      <c r="CK158" s="37"/>
      <c r="CL158" s="37"/>
      <c r="CM158" s="37"/>
      <c r="CN158" s="37"/>
      <c r="CO158" s="37"/>
      <c r="CP158" s="37"/>
      <c r="CQ158" s="37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44"/>
    </row>
    <row r="159" spans="1:114" ht="12.75" hidden="1" outlineLevel="1">
      <c r="A159" s="4"/>
      <c r="B159" s="63"/>
      <c r="C159" s="52"/>
      <c r="D159" s="52"/>
      <c r="E159" s="61"/>
      <c r="F159" s="61"/>
      <c r="G159" s="52"/>
      <c r="H159" s="63"/>
      <c r="I159" s="63"/>
      <c r="J159" s="65"/>
      <c r="K159" s="65"/>
      <c r="L159" s="65"/>
      <c r="M159" s="65"/>
      <c r="N159" s="65"/>
      <c r="O159" s="65"/>
      <c r="P159" s="65"/>
      <c r="Q159" s="65"/>
      <c r="R159" s="65"/>
      <c r="S159" s="68"/>
      <c r="T159" s="68"/>
      <c r="U159" s="65"/>
      <c r="V159" s="92"/>
      <c r="W159" s="92"/>
      <c r="X159" s="71"/>
      <c r="Y159" s="72"/>
      <c r="Z159" s="72"/>
      <c r="AA159" s="72"/>
      <c r="AB159" s="72"/>
      <c r="AC159" s="72"/>
      <c r="AD159" s="72"/>
      <c r="AE159" s="68"/>
      <c r="AF159" s="73"/>
      <c r="AG159" s="73"/>
      <c r="AH159" s="73"/>
      <c r="AI159" s="73"/>
      <c r="AJ159" s="73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129"/>
      <c r="CA159" s="129"/>
      <c r="CB159" s="129"/>
      <c r="CC159" s="129"/>
      <c r="CD159" s="129"/>
      <c r="CE159" s="129"/>
      <c r="CF159" s="129"/>
      <c r="CG159" s="37"/>
      <c r="CH159" s="42"/>
      <c r="CI159" s="43"/>
      <c r="CJ159" s="37"/>
      <c r="CK159" s="37"/>
      <c r="CL159" s="37"/>
      <c r="CM159" s="37"/>
      <c r="CN159" s="37"/>
      <c r="CO159" s="37"/>
      <c r="CP159" s="37"/>
      <c r="CQ159" s="37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44"/>
    </row>
    <row r="160" spans="1:114" ht="12.75" hidden="1" outlineLevel="1">
      <c r="A160" s="4"/>
      <c r="B160" s="63"/>
      <c r="C160" s="52"/>
      <c r="D160" s="52"/>
      <c r="E160" s="61"/>
      <c r="F160" s="61"/>
      <c r="G160" s="52"/>
      <c r="H160" s="63"/>
      <c r="I160" s="63"/>
      <c r="J160" s="65"/>
      <c r="K160" s="65"/>
      <c r="L160" s="65"/>
      <c r="M160" s="65"/>
      <c r="N160" s="65"/>
      <c r="O160" s="65"/>
      <c r="P160" s="65"/>
      <c r="Q160" s="65"/>
      <c r="R160" s="65"/>
      <c r="S160" s="68"/>
      <c r="T160" s="68"/>
      <c r="U160" s="65"/>
      <c r="V160" s="92"/>
      <c r="W160" s="92"/>
      <c r="X160" s="71"/>
      <c r="Y160" s="72"/>
      <c r="Z160" s="72"/>
      <c r="AA160" s="72"/>
      <c r="AB160" s="72"/>
      <c r="AC160" s="72"/>
      <c r="AD160" s="72"/>
      <c r="AE160" s="68"/>
      <c r="AF160" s="73"/>
      <c r="AG160" s="73"/>
      <c r="AH160" s="73"/>
      <c r="AI160" s="73"/>
      <c r="AJ160" s="73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129"/>
      <c r="CA160" s="129"/>
      <c r="CB160" s="129"/>
      <c r="CC160" s="129"/>
      <c r="CD160" s="129"/>
      <c r="CE160" s="129"/>
      <c r="CF160" s="129"/>
      <c r="CG160" s="37"/>
      <c r="CH160" s="42"/>
      <c r="CI160" s="43"/>
      <c r="CJ160" s="37"/>
      <c r="CK160" s="37"/>
      <c r="CL160" s="37"/>
      <c r="CM160" s="37"/>
      <c r="CN160" s="37"/>
      <c r="CO160" s="37"/>
      <c r="CP160" s="37"/>
      <c r="CQ160" s="37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44"/>
    </row>
    <row r="161" spans="1:114" ht="12.75" hidden="1" outlineLevel="1">
      <c r="A161" s="4"/>
      <c r="B161" s="63"/>
      <c r="C161" s="52"/>
      <c r="D161" s="52"/>
      <c r="E161" s="61"/>
      <c r="F161" s="61"/>
      <c r="G161" s="52"/>
      <c r="H161" s="63"/>
      <c r="I161" s="63"/>
      <c r="J161" s="65"/>
      <c r="K161" s="65"/>
      <c r="L161" s="65"/>
      <c r="M161" s="65"/>
      <c r="N161" s="65"/>
      <c r="O161" s="65"/>
      <c r="P161" s="65"/>
      <c r="Q161" s="65"/>
      <c r="R161" s="65"/>
      <c r="S161" s="68"/>
      <c r="T161" s="68"/>
      <c r="U161" s="65"/>
      <c r="V161" s="92"/>
      <c r="W161" s="92"/>
      <c r="X161" s="71"/>
      <c r="Y161" s="72"/>
      <c r="Z161" s="72"/>
      <c r="AA161" s="72"/>
      <c r="AB161" s="72"/>
      <c r="AC161" s="72"/>
      <c r="AD161" s="72"/>
      <c r="AE161" s="68"/>
      <c r="AF161" s="73"/>
      <c r="AG161" s="73"/>
      <c r="AH161" s="73"/>
      <c r="AI161" s="73"/>
      <c r="AJ161" s="73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129"/>
      <c r="CA161" s="129"/>
      <c r="CB161" s="129"/>
      <c r="CC161" s="129"/>
      <c r="CD161" s="129"/>
      <c r="CE161" s="129"/>
      <c r="CF161" s="129"/>
      <c r="CG161" s="37"/>
      <c r="CH161" s="42"/>
      <c r="CI161" s="43"/>
      <c r="CJ161" s="37"/>
      <c r="CK161" s="37"/>
      <c r="CL161" s="37"/>
      <c r="CM161" s="37"/>
      <c r="CN161" s="37"/>
      <c r="CO161" s="37"/>
      <c r="CP161" s="37"/>
      <c r="CQ161" s="37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44"/>
    </row>
    <row r="162" spans="1:114" ht="12.75" hidden="1" outlineLevel="1">
      <c r="A162" s="4"/>
      <c r="B162" s="63"/>
      <c r="C162" s="52"/>
      <c r="D162" s="52"/>
      <c r="E162" s="61"/>
      <c r="F162" s="61"/>
      <c r="G162" s="52"/>
      <c r="H162" s="63"/>
      <c r="I162" s="63"/>
      <c r="J162" s="65"/>
      <c r="K162" s="65"/>
      <c r="L162" s="65"/>
      <c r="M162" s="65"/>
      <c r="N162" s="65"/>
      <c r="O162" s="65"/>
      <c r="P162" s="65"/>
      <c r="Q162" s="65"/>
      <c r="R162" s="65"/>
      <c r="S162" s="68"/>
      <c r="T162" s="68"/>
      <c r="U162" s="65"/>
      <c r="V162" s="92"/>
      <c r="W162" s="92"/>
      <c r="X162" s="71"/>
      <c r="Y162" s="72"/>
      <c r="Z162" s="72"/>
      <c r="AA162" s="72"/>
      <c r="AB162" s="72"/>
      <c r="AC162" s="72"/>
      <c r="AD162" s="72"/>
      <c r="AE162" s="68"/>
      <c r="AF162" s="73"/>
      <c r="AG162" s="73"/>
      <c r="AH162" s="73"/>
      <c r="AI162" s="73"/>
      <c r="AJ162" s="73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129"/>
      <c r="CA162" s="129"/>
      <c r="CB162" s="129"/>
      <c r="CC162" s="129"/>
      <c r="CD162" s="129"/>
      <c r="CE162" s="129"/>
      <c r="CF162" s="129"/>
      <c r="CG162" s="37"/>
      <c r="CH162" s="42"/>
      <c r="CI162" s="43"/>
      <c r="CJ162" s="37"/>
      <c r="CK162" s="37"/>
      <c r="CL162" s="37"/>
      <c r="CM162" s="37"/>
      <c r="CN162" s="37"/>
      <c r="CO162" s="37"/>
      <c r="CP162" s="37"/>
      <c r="CQ162" s="37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44"/>
    </row>
    <row r="163" spans="1:114" ht="12.75" hidden="1" outlineLevel="1">
      <c r="A163" s="4"/>
      <c r="B163" s="63"/>
      <c r="C163" s="52"/>
      <c r="D163" s="52"/>
      <c r="E163" s="61"/>
      <c r="F163" s="61"/>
      <c r="G163" s="52"/>
      <c r="H163" s="63"/>
      <c r="I163" s="63"/>
      <c r="J163" s="65"/>
      <c r="K163" s="65"/>
      <c r="L163" s="65"/>
      <c r="M163" s="65"/>
      <c r="N163" s="65"/>
      <c r="O163" s="65"/>
      <c r="P163" s="65"/>
      <c r="Q163" s="65"/>
      <c r="R163" s="65"/>
      <c r="S163" s="68"/>
      <c r="T163" s="68"/>
      <c r="U163" s="65"/>
      <c r="V163" s="92"/>
      <c r="W163" s="92"/>
      <c r="X163" s="71"/>
      <c r="Y163" s="72"/>
      <c r="Z163" s="72"/>
      <c r="AA163" s="72"/>
      <c r="AB163" s="72"/>
      <c r="AC163" s="72"/>
      <c r="AD163" s="72"/>
      <c r="AE163" s="68"/>
      <c r="AF163" s="73"/>
      <c r="AG163" s="73"/>
      <c r="AH163" s="73"/>
      <c r="AI163" s="73"/>
      <c r="AJ163" s="73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129"/>
      <c r="CA163" s="129"/>
      <c r="CB163" s="129"/>
      <c r="CC163" s="129"/>
      <c r="CD163" s="129"/>
      <c r="CE163" s="129"/>
      <c r="CF163" s="129"/>
      <c r="CG163" s="37"/>
      <c r="CH163" s="42"/>
      <c r="CI163" s="43"/>
      <c r="CJ163" s="37"/>
      <c r="CK163" s="37"/>
      <c r="CL163" s="37"/>
      <c r="CM163" s="37"/>
      <c r="CN163" s="37"/>
      <c r="CO163" s="37"/>
      <c r="CP163" s="37"/>
      <c r="CQ163" s="37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44"/>
    </row>
    <row r="164" spans="1:114" ht="12.75" hidden="1" outlineLevel="1">
      <c r="A164" s="4"/>
      <c r="B164" s="63"/>
      <c r="C164" s="52"/>
      <c r="D164" s="52"/>
      <c r="E164" s="61"/>
      <c r="F164" s="61"/>
      <c r="G164" s="52"/>
      <c r="H164" s="63"/>
      <c r="I164" s="63"/>
      <c r="J164" s="65"/>
      <c r="K164" s="65"/>
      <c r="L164" s="65"/>
      <c r="M164" s="65"/>
      <c r="N164" s="65"/>
      <c r="O164" s="65"/>
      <c r="P164" s="65"/>
      <c r="Q164" s="65"/>
      <c r="R164" s="65"/>
      <c r="S164" s="68"/>
      <c r="T164" s="68"/>
      <c r="U164" s="65"/>
      <c r="V164" s="92"/>
      <c r="W164" s="92"/>
      <c r="X164" s="71"/>
      <c r="Y164" s="72"/>
      <c r="Z164" s="72"/>
      <c r="AA164" s="72"/>
      <c r="AB164" s="72"/>
      <c r="AC164" s="72"/>
      <c r="AD164" s="72"/>
      <c r="AE164" s="68"/>
      <c r="AF164" s="73"/>
      <c r="AG164" s="73"/>
      <c r="AH164" s="73"/>
      <c r="AI164" s="73"/>
      <c r="AJ164" s="73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129"/>
      <c r="CA164" s="129"/>
      <c r="CB164" s="129"/>
      <c r="CC164" s="129"/>
      <c r="CD164" s="129"/>
      <c r="CE164" s="129"/>
      <c r="CF164" s="129"/>
      <c r="CG164" s="37"/>
      <c r="CH164" s="42"/>
      <c r="CI164" s="43"/>
      <c r="CJ164" s="37"/>
      <c r="CK164" s="37"/>
      <c r="CL164" s="37"/>
      <c r="CM164" s="37"/>
      <c r="CN164" s="37"/>
      <c r="CO164" s="37"/>
      <c r="CP164" s="37"/>
      <c r="CQ164" s="37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44"/>
    </row>
    <row r="165" spans="1:114" ht="12.75" hidden="1" outlineLevel="1">
      <c r="A165" s="4"/>
      <c r="B165" s="63"/>
      <c r="C165" s="52"/>
      <c r="D165" s="52"/>
      <c r="E165" s="61"/>
      <c r="F165" s="61"/>
      <c r="G165" s="52"/>
      <c r="H165" s="63"/>
      <c r="I165" s="63"/>
      <c r="J165" s="65"/>
      <c r="K165" s="65"/>
      <c r="L165" s="65"/>
      <c r="M165" s="65"/>
      <c r="N165" s="65"/>
      <c r="O165" s="65"/>
      <c r="P165" s="65"/>
      <c r="Q165" s="65"/>
      <c r="R165" s="65"/>
      <c r="S165" s="68"/>
      <c r="T165" s="68"/>
      <c r="U165" s="65"/>
      <c r="V165" s="92"/>
      <c r="W165" s="92"/>
      <c r="X165" s="71"/>
      <c r="Y165" s="72"/>
      <c r="Z165" s="72"/>
      <c r="AA165" s="72"/>
      <c r="AB165" s="72"/>
      <c r="AC165" s="72"/>
      <c r="AD165" s="72"/>
      <c r="AE165" s="68"/>
      <c r="AF165" s="73"/>
      <c r="AG165" s="73"/>
      <c r="AH165" s="73"/>
      <c r="AI165" s="73"/>
      <c r="AJ165" s="73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129"/>
      <c r="CA165" s="129"/>
      <c r="CB165" s="129"/>
      <c r="CC165" s="129"/>
      <c r="CD165" s="129"/>
      <c r="CE165" s="129"/>
      <c r="CF165" s="129"/>
      <c r="CG165" s="37"/>
      <c r="CH165" s="42"/>
      <c r="CI165" s="43"/>
      <c r="CJ165" s="37"/>
      <c r="CK165" s="37"/>
      <c r="CL165" s="37"/>
      <c r="CM165" s="37"/>
      <c r="CN165" s="37"/>
      <c r="CO165" s="37"/>
      <c r="CP165" s="37"/>
      <c r="CQ165" s="37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44"/>
    </row>
    <row r="166" spans="1:114" ht="12.75" hidden="1" outlineLevel="1">
      <c r="A166" s="4"/>
      <c r="B166" s="63"/>
      <c r="C166" s="52"/>
      <c r="D166" s="52"/>
      <c r="E166" s="61"/>
      <c r="F166" s="61"/>
      <c r="G166" s="52"/>
      <c r="H166" s="63"/>
      <c r="I166" s="63"/>
      <c r="J166" s="65"/>
      <c r="K166" s="65"/>
      <c r="L166" s="65"/>
      <c r="M166" s="65"/>
      <c r="N166" s="65"/>
      <c r="O166" s="65"/>
      <c r="P166" s="65"/>
      <c r="Q166" s="65"/>
      <c r="R166" s="65"/>
      <c r="S166" s="68"/>
      <c r="T166" s="68"/>
      <c r="U166" s="65"/>
      <c r="V166" s="92"/>
      <c r="W166" s="92"/>
      <c r="X166" s="71"/>
      <c r="Y166" s="72"/>
      <c r="Z166" s="72"/>
      <c r="AA166" s="72"/>
      <c r="AB166" s="72"/>
      <c r="AC166" s="72"/>
      <c r="AD166" s="72"/>
      <c r="AE166" s="68"/>
      <c r="AF166" s="73"/>
      <c r="AG166" s="73"/>
      <c r="AH166" s="73"/>
      <c r="AI166" s="73"/>
      <c r="AJ166" s="73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129"/>
      <c r="CA166" s="129"/>
      <c r="CB166" s="129"/>
      <c r="CC166" s="129"/>
      <c r="CD166" s="129"/>
      <c r="CE166" s="129"/>
      <c r="CF166" s="129"/>
      <c r="CG166" s="37"/>
      <c r="CH166" s="42"/>
      <c r="CI166" s="43"/>
      <c r="CJ166" s="37"/>
      <c r="CK166" s="37"/>
      <c r="CL166" s="37"/>
      <c r="CM166" s="37"/>
      <c r="CN166" s="37"/>
      <c r="CO166" s="37"/>
      <c r="CP166" s="37"/>
      <c r="CQ166" s="37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44"/>
    </row>
    <row r="167" spans="1:114" ht="12.75" hidden="1" outlineLevel="1">
      <c r="A167" s="4"/>
      <c r="B167" s="63"/>
      <c r="C167" s="52"/>
      <c r="D167" s="52"/>
      <c r="E167" s="61"/>
      <c r="F167" s="61"/>
      <c r="G167" s="52"/>
      <c r="H167" s="63"/>
      <c r="I167" s="63"/>
      <c r="J167" s="65"/>
      <c r="K167" s="65"/>
      <c r="L167" s="65"/>
      <c r="M167" s="65"/>
      <c r="N167" s="65"/>
      <c r="O167" s="65"/>
      <c r="P167" s="65"/>
      <c r="Q167" s="65"/>
      <c r="R167" s="65"/>
      <c r="S167" s="68"/>
      <c r="T167" s="68"/>
      <c r="U167" s="65"/>
      <c r="V167" s="92"/>
      <c r="W167" s="92"/>
      <c r="X167" s="71"/>
      <c r="Y167" s="72"/>
      <c r="Z167" s="72"/>
      <c r="AA167" s="72"/>
      <c r="AB167" s="72"/>
      <c r="AC167" s="72"/>
      <c r="AD167" s="72"/>
      <c r="AE167" s="68"/>
      <c r="AF167" s="73"/>
      <c r="AG167" s="73"/>
      <c r="AH167" s="73"/>
      <c r="AI167" s="73"/>
      <c r="AJ167" s="73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129"/>
      <c r="CA167" s="129"/>
      <c r="CB167" s="129"/>
      <c r="CC167" s="129"/>
      <c r="CD167" s="129"/>
      <c r="CE167" s="129"/>
      <c r="CF167" s="129"/>
      <c r="CG167" s="37"/>
      <c r="CH167" s="42"/>
      <c r="CI167" s="43"/>
      <c r="CJ167" s="37"/>
      <c r="CK167" s="37"/>
      <c r="CL167" s="37"/>
      <c r="CM167" s="37"/>
      <c r="CN167" s="37"/>
      <c r="CO167" s="37"/>
      <c r="CP167" s="37"/>
      <c r="CQ167" s="37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44"/>
    </row>
    <row r="168" spans="1:114" ht="12.75" hidden="1" outlineLevel="1">
      <c r="A168" s="4"/>
      <c r="B168" s="63"/>
      <c r="C168" s="52"/>
      <c r="D168" s="52"/>
      <c r="E168" s="61"/>
      <c r="F168" s="61"/>
      <c r="G168" s="52"/>
      <c r="H168" s="63"/>
      <c r="I168" s="63"/>
      <c r="J168" s="65"/>
      <c r="K168" s="65"/>
      <c r="L168" s="65"/>
      <c r="M168" s="65"/>
      <c r="N168" s="65"/>
      <c r="O168" s="65"/>
      <c r="P168" s="65"/>
      <c r="Q168" s="65"/>
      <c r="R168" s="65"/>
      <c r="S168" s="68"/>
      <c r="T168" s="68"/>
      <c r="U168" s="65"/>
      <c r="V168" s="92"/>
      <c r="W168" s="92"/>
      <c r="X168" s="71"/>
      <c r="Y168" s="72"/>
      <c r="Z168" s="72"/>
      <c r="AA168" s="72"/>
      <c r="AB168" s="72"/>
      <c r="AC168" s="72"/>
      <c r="AD168" s="72"/>
      <c r="AE168" s="68"/>
      <c r="AF168" s="73"/>
      <c r="AG168" s="73"/>
      <c r="AH168" s="73"/>
      <c r="AI168" s="73"/>
      <c r="AJ168" s="73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129"/>
      <c r="CA168" s="129"/>
      <c r="CB168" s="129"/>
      <c r="CC168" s="129"/>
      <c r="CD168" s="129"/>
      <c r="CE168" s="129"/>
      <c r="CF168" s="129"/>
      <c r="CG168" s="37"/>
      <c r="CH168" s="42"/>
      <c r="CI168" s="43"/>
      <c r="CJ168" s="37"/>
      <c r="CK168" s="37"/>
      <c r="CL168" s="37"/>
      <c r="CM168" s="37"/>
      <c r="CN168" s="37"/>
      <c r="CO168" s="37"/>
      <c r="CP168" s="37"/>
      <c r="CQ168" s="37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44"/>
    </row>
    <row r="169" spans="1:114" ht="12.75" hidden="1" outlineLevel="1">
      <c r="A169" s="4"/>
      <c r="B169" s="63"/>
      <c r="C169" s="52"/>
      <c r="D169" s="52"/>
      <c r="E169" s="61"/>
      <c r="F169" s="61"/>
      <c r="G169" s="52"/>
      <c r="H169" s="63"/>
      <c r="I169" s="63"/>
      <c r="J169" s="65"/>
      <c r="K169" s="65"/>
      <c r="L169" s="65"/>
      <c r="M169" s="65"/>
      <c r="N169" s="65"/>
      <c r="O169" s="65"/>
      <c r="P169" s="65"/>
      <c r="Q169" s="65"/>
      <c r="R169" s="65"/>
      <c r="S169" s="68"/>
      <c r="T169" s="68"/>
      <c r="U169" s="65"/>
      <c r="V169" s="92"/>
      <c r="W169" s="92"/>
      <c r="X169" s="71"/>
      <c r="Y169" s="72"/>
      <c r="Z169" s="72"/>
      <c r="AA169" s="72"/>
      <c r="AB169" s="72"/>
      <c r="AC169" s="72"/>
      <c r="AD169" s="72"/>
      <c r="AE169" s="68"/>
      <c r="AF169" s="73"/>
      <c r="AG169" s="73"/>
      <c r="AH169" s="73"/>
      <c r="AI169" s="73"/>
      <c r="AJ169" s="73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129"/>
      <c r="CA169" s="129"/>
      <c r="CB169" s="129"/>
      <c r="CC169" s="129"/>
      <c r="CD169" s="129"/>
      <c r="CE169" s="129"/>
      <c r="CF169" s="129"/>
      <c r="CG169" s="37"/>
      <c r="CH169" s="42"/>
      <c r="CI169" s="43"/>
      <c r="CJ169" s="37"/>
      <c r="CK169" s="37"/>
      <c r="CL169" s="37"/>
      <c r="CM169" s="37"/>
      <c r="CN169" s="37"/>
      <c r="CO169" s="37"/>
      <c r="CP169" s="37"/>
      <c r="CQ169" s="37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44"/>
    </row>
    <row r="170" spans="1:114" ht="12.75" hidden="1" outlineLevel="1">
      <c r="A170" s="4"/>
      <c r="B170" s="63"/>
      <c r="C170" s="52"/>
      <c r="D170" s="52"/>
      <c r="E170" s="61"/>
      <c r="F170" s="61"/>
      <c r="G170" s="52"/>
      <c r="H170" s="63"/>
      <c r="I170" s="63"/>
      <c r="J170" s="65"/>
      <c r="K170" s="65"/>
      <c r="L170" s="65"/>
      <c r="M170" s="65"/>
      <c r="N170" s="65"/>
      <c r="O170" s="65"/>
      <c r="P170" s="65"/>
      <c r="Q170" s="65"/>
      <c r="R170" s="65"/>
      <c r="S170" s="68"/>
      <c r="T170" s="68"/>
      <c r="U170" s="65"/>
      <c r="V170" s="92"/>
      <c r="W170" s="92"/>
      <c r="X170" s="71"/>
      <c r="Y170" s="72"/>
      <c r="Z170" s="72"/>
      <c r="AA170" s="72"/>
      <c r="AB170" s="72"/>
      <c r="AC170" s="72"/>
      <c r="AD170" s="72"/>
      <c r="AE170" s="68"/>
      <c r="AF170" s="73"/>
      <c r="AG170" s="73"/>
      <c r="AH170" s="73"/>
      <c r="AI170" s="73"/>
      <c r="AJ170" s="73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129"/>
      <c r="CA170" s="129"/>
      <c r="CB170" s="129"/>
      <c r="CC170" s="129"/>
      <c r="CD170" s="129"/>
      <c r="CE170" s="129"/>
      <c r="CF170" s="129"/>
      <c r="CG170" s="37"/>
      <c r="CH170" s="42"/>
      <c r="CI170" s="43"/>
      <c r="CJ170" s="37"/>
      <c r="CK170" s="37"/>
      <c r="CL170" s="37"/>
      <c r="CM170" s="37"/>
      <c r="CN170" s="37"/>
      <c r="CO170" s="37"/>
      <c r="CP170" s="37"/>
      <c r="CQ170" s="37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44"/>
    </row>
    <row r="171" spans="1:114" ht="12.75" hidden="1" outlineLevel="1">
      <c r="A171" s="4"/>
      <c r="B171" s="63"/>
      <c r="C171" s="52"/>
      <c r="D171" s="52"/>
      <c r="E171" s="61"/>
      <c r="F171" s="61"/>
      <c r="G171" s="52"/>
      <c r="H171" s="63"/>
      <c r="I171" s="63"/>
      <c r="J171" s="65"/>
      <c r="K171" s="65"/>
      <c r="L171" s="65"/>
      <c r="M171" s="65"/>
      <c r="N171" s="65"/>
      <c r="O171" s="65"/>
      <c r="P171" s="65"/>
      <c r="Q171" s="65"/>
      <c r="R171" s="65"/>
      <c r="S171" s="68"/>
      <c r="T171" s="68"/>
      <c r="U171" s="65"/>
      <c r="V171" s="92"/>
      <c r="W171" s="92"/>
      <c r="X171" s="71"/>
      <c r="Y171" s="72"/>
      <c r="Z171" s="72"/>
      <c r="AA171" s="72"/>
      <c r="AB171" s="72"/>
      <c r="AC171" s="72"/>
      <c r="AD171" s="72"/>
      <c r="AE171" s="68"/>
      <c r="AF171" s="73"/>
      <c r="AG171" s="73"/>
      <c r="AH171" s="73"/>
      <c r="AI171" s="73"/>
      <c r="AJ171" s="73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129"/>
      <c r="CA171" s="129"/>
      <c r="CB171" s="129"/>
      <c r="CC171" s="129"/>
      <c r="CD171" s="129"/>
      <c r="CE171" s="129"/>
      <c r="CF171" s="129"/>
      <c r="CG171" s="37"/>
      <c r="CH171" s="42"/>
      <c r="CI171" s="43"/>
      <c r="CJ171" s="37"/>
      <c r="CK171" s="37"/>
      <c r="CL171" s="37"/>
      <c r="CM171" s="37"/>
      <c r="CN171" s="37"/>
      <c r="CO171" s="37"/>
      <c r="CP171" s="37"/>
      <c r="CQ171" s="37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44"/>
    </row>
    <row r="172" spans="1:114" ht="12.75" hidden="1" outlineLevel="1">
      <c r="A172" s="4"/>
      <c r="B172" s="63"/>
      <c r="C172" s="52"/>
      <c r="D172" s="52"/>
      <c r="E172" s="61"/>
      <c r="F172" s="61"/>
      <c r="G172" s="52"/>
      <c r="H172" s="63"/>
      <c r="I172" s="63"/>
      <c r="J172" s="65"/>
      <c r="K172" s="65"/>
      <c r="L172" s="65"/>
      <c r="M172" s="65"/>
      <c r="N172" s="65"/>
      <c r="O172" s="65"/>
      <c r="P172" s="65"/>
      <c r="Q172" s="65"/>
      <c r="R172" s="65"/>
      <c r="S172" s="68"/>
      <c r="T172" s="68"/>
      <c r="U172" s="65"/>
      <c r="V172" s="92"/>
      <c r="W172" s="92"/>
      <c r="X172" s="71"/>
      <c r="Y172" s="72"/>
      <c r="Z172" s="72"/>
      <c r="AA172" s="72"/>
      <c r="AB172" s="72"/>
      <c r="AC172" s="72"/>
      <c r="AD172" s="72"/>
      <c r="AE172" s="68"/>
      <c r="AF172" s="73"/>
      <c r="AG172" s="73"/>
      <c r="AH172" s="73"/>
      <c r="AI172" s="73"/>
      <c r="AJ172" s="73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129"/>
      <c r="CA172" s="129"/>
      <c r="CB172" s="129"/>
      <c r="CC172" s="129"/>
      <c r="CD172" s="129"/>
      <c r="CE172" s="129"/>
      <c r="CF172" s="129"/>
      <c r="CG172" s="37"/>
      <c r="CH172" s="42"/>
      <c r="CI172" s="43"/>
      <c r="CJ172" s="37"/>
      <c r="CK172" s="37"/>
      <c r="CL172" s="37"/>
      <c r="CM172" s="37"/>
      <c r="CN172" s="37"/>
      <c r="CO172" s="37"/>
      <c r="CP172" s="37"/>
      <c r="CQ172" s="37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44"/>
    </row>
    <row r="173" spans="1:114" ht="12.75" hidden="1" outlineLevel="1">
      <c r="A173" s="4"/>
      <c r="B173" s="63"/>
      <c r="C173" s="52"/>
      <c r="D173" s="52"/>
      <c r="E173" s="61"/>
      <c r="F173" s="61"/>
      <c r="G173" s="52"/>
      <c r="H173" s="63"/>
      <c r="I173" s="63"/>
      <c r="J173" s="65"/>
      <c r="K173" s="65"/>
      <c r="L173" s="65"/>
      <c r="M173" s="65"/>
      <c r="N173" s="65"/>
      <c r="O173" s="65"/>
      <c r="P173" s="65"/>
      <c r="Q173" s="65"/>
      <c r="R173" s="65"/>
      <c r="S173" s="68"/>
      <c r="T173" s="68"/>
      <c r="U173" s="65"/>
      <c r="V173" s="92"/>
      <c r="W173" s="92"/>
      <c r="X173" s="71"/>
      <c r="Y173" s="72"/>
      <c r="Z173" s="72"/>
      <c r="AA173" s="72"/>
      <c r="AB173" s="72"/>
      <c r="AC173" s="72"/>
      <c r="AD173" s="72"/>
      <c r="AE173" s="68"/>
      <c r="AF173" s="73"/>
      <c r="AG173" s="73"/>
      <c r="AH173" s="73"/>
      <c r="AI173" s="73"/>
      <c r="AJ173" s="73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129"/>
      <c r="CA173" s="129"/>
      <c r="CB173" s="129"/>
      <c r="CC173" s="129"/>
      <c r="CD173" s="129"/>
      <c r="CE173" s="129"/>
      <c r="CF173" s="129"/>
      <c r="CG173" s="37"/>
      <c r="CH173" s="42"/>
      <c r="CI173" s="43"/>
      <c r="CJ173" s="37"/>
      <c r="CK173" s="37"/>
      <c r="CL173" s="37"/>
      <c r="CM173" s="37"/>
      <c r="CN173" s="37"/>
      <c r="CO173" s="37"/>
      <c r="CP173" s="37"/>
      <c r="CQ173" s="37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44"/>
    </row>
    <row r="174" spans="1:114" ht="12.75" hidden="1" outlineLevel="1">
      <c r="A174" s="4"/>
      <c r="B174" s="63"/>
      <c r="C174" s="52"/>
      <c r="D174" s="52"/>
      <c r="E174" s="61"/>
      <c r="F174" s="61"/>
      <c r="G174" s="52"/>
      <c r="H174" s="63"/>
      <c r="I174" s="63"/>
      <c r="J174" s="65"/>
      <c r="K174" s="65"/>
      <c r="L174" s="65"/>
      <c r="M174" s="65"/>
      <c r="N174" s="65"/>
      <c r="O174" s="65"/>
      <c r="P174" s="65"/>
      <c r="Q174" s="65"/>
      <c r="R174" s="65"/>
      <c r="S174" s="68"/>
      <c r="T174" s="68"/>
      <c r="U174" s="65"/>
      <c r="V174" s="92"/>
      <c r="W174" s="92"/>
      <c r="X174" s="71"/>
      <c r="Y174" s="72"/>
      <c r="Z174" s="72"/>
      <c r="AA174" s="72"/>
      <c r="AB174" s="72"/>
      <c r="AC174" s="72"/>
      <c r="AD174" s="72"/>
      <c r="AE174" s="68"/>
      <c r="AF174" s="73"/>
      <c r="AG174" s="73"/>
      <c r="AH174" s="73"/>
      <c r="AI174" s="73"/>
      <c r="AJ174" s="73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129"/>
      <c r="CA174" s="129"/>
      <c r="CB174" s="129"/>
      <c r="CC174" s="129"/>
      <c r="CD174" s="129"/>
      <c r="CE174" s="129"/>
      <c r="CF174" s="129"/>
      <c r="CG174" s="37"/>
      <c r="CH174" s="42"/>
      <c r="CI174" s="43"/>
      <c r="CJ174" s="37"/>
      <c r="CK174" s="37"/>
      <c r="CL174" s="37"/>
      <c r="CM174" s="37"/>
      <c r="CN174" s="37"/>
      <c r="CO174" s="37"/>
      <c r="CP174" s="37"/>
      <c r="CQ174" s="37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44"/>
    </row>
    <row r="175" spans="1:114" ht="12.75" hidden="1" outlineLevel="1">
      <c r="A175" s="4"/>
      <c r="B175" s="63"/>
      <c r="C175" s="52"/>
      <c r="D175" s="52"/>
      <c r="E175" s="61"/>
      <c r="F175" s="61"/>
      <c r="G175" s="52"/>
      <c r="H175" s="63"/>
      <c r="I175" s="63"/>
      <c r="J175" s="65"/>
      <c r="K175" s="65"/>
      <c r="L175" s="65"/>
      <c r="M175" s="65"/>
      <c r="N175" s="65"/>
      <c r="O175" s="65"/>
      <c r="P175" s="65"/>
      <c r="Q175" s="65"/>
      <c r="R175" s="65"/>
      <c r="S175" s="68"/>
      <c r="T175" s="68"/>
      <c r="U175" s="65"/>
      <c r="V175" s="92"/>
      <c r="W175" s="92"/>
      <c r="X175" s="71"/>
      <c r="Y175" s="72"/>
      <c r="Z175" s="72"/>
      <c r="AA175" s="72"/>
      <c r="AB175" s="72"/>
      <c r="AC175" s="72"/>
      <c r="AD175" s="72"/>
      <c r="AE175" s="68"/>
      <c r="AF175" s="73"/>
      <c r="AG175" s="73"/>
      <c r="AH175" s="73"/>
      <c r="AI175" s="73"/>
      <c r="AJ175" s="73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129"/>
      <c r="CA175" s="129"/>
      <c r="CB175" s="129"/>
      <c r="CC175" s="129"/>
      <c r="CD175" s="129"/>
      <c r="CE175" s="129"/>
      <c r="CF175" s="129"/>
      <c r="CG175" s="37"/>
      <c r="CH175" s="42"/>
      <c r="CI175" s="43"/>
      <c r="CJ175" s="37"/>
      <c r="CK175" s="37"/>
      <c r="CL175" s="37"/>
      <c r="CM175" s="37"/>
      <c r="CN175" s="37"/>
      <c r="CO175" s="37"/>
      <c r="CP175" s="37"/>
      <c r="CQ175" s="37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44"/>
    </row>
    <row r="176" spans="1:114" ht="12.75" hidden="1" outlineLevel="1">
      <c r="A176" s="4"/>
      <c r="B176" s="63"/>
      <c r="C176" s="52"/>
      <c r="D176" s="52"/>
      <c r="E176" s="61"/>
      <c r="F176" s="61"/>
      <c r="G176" s="52"/>
      <c r="H176" s="63"/>
      <c r="I176" s="63"/>
      <c r="J176" s="65"/>
      <c r="K176" s="65"/>
      <c r="L176" s="65"/>
      <c r="M176" s="65"/>
      <c r="N176" s="65"/>
      <c r="O176" s="65"/>
      <c r="P176" s="65"/>
      <c r="Q176" s="65"/>
      <c r="R176" s="65"/>
      <c r="S176" s="68"/>
      <c r="T176" s="68"/>
      <c r="U176" s="65"/>
      <c r="V176" s="92"/>
      <c r="W176" s="92"/>
      <c r="X176" s="71"/>
      <c r="Y176" s="72"/>
      <c r="Z176" s="72"/>
      <c r="AA176" s="72"/>
      <c r="AB176" s="72"/>
      <c r="AC176" s="72"/>
      <c r="AD176" s="72"/>
      <c r="AE176" s="68"/>
      <c r="AF176" s="73"/>
      <c r="AG176" s="73"/>
      <c r="AH176" s="73"/>
      <c r="AI176" s="73"/>
      <c r="AJ176" s="73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129"/>
      <c r="CA176" s="129"/>
      <c r="CB176" s="129"/>
      <c r="CC176" s="129"/>
      <c r="CD176" s="129"/>
      <c r="CE176" s="129"/>
      <c r="CF176" s="129"/>
      <c r="CG176" s="37"/>
      <c r="CH176" s="42"/>
      <c r="CI176" s="43"/>
      <c r="CJ176" s="37"/>
      <c r="CK176" s="37"/>
      <c r="CL176" s="37"/>
      <c r="CM176" s="37"/>
      <c r="CN176" s="37"/>
      <c r="CO176" s="37"/>
      <c r="CP176" s="37"/>
      <c r="CQ176" s="37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44"/>
    </row>
    <row r="177" spans="1:114" ht="12.75" hidden="1" outlineLevel="1">
      <c r="A177" s="4"/>
      <c r="B177" s="63"/>
      <c r="C177" s="52"/>
      <c r="D177" s="52"/>
      <c r="E177" s="61"/>
      <c r="F177" s="61"/>
      <c r="G177" s="52"/>
      <c r="H177" s="63"/>
      <c r="I177" s="63"/>
      <c r="J177" s="65"/>
      <c r="K177" s="65"/>
      <c r="L177" s="65"/>
      <c r="M177" s="65"/>
      <c r="N177" s="65"/>
      <c r="O177" s="65"/>
      <c r="P177" s="65"/>
      <c r="Q177" s="65"/>
      <c r="R177" s="65"/>
      <c r="S177" s="68"/>
      <c r="T177" s="68"/>
      <c r="U177" s="65"/>
      <c r="V177" s="92"/>
      <c r="W177" s="92"/>
      <c r="X177" s="71"/>
      <c r="Y177" s="72"/>
      <c r="Z177" s="72"/>
      <c r="AA177" s="72"/>
      <c r="AB177" s="72"/>
      <c r="AC177" s="72"/>
      <c r="AD177" s="72"/>
      <c r="AE177" s="68"/>
      <c r="AF177" s="73"/>
      <c r="AG177" s="73"/>
      <c r="AH177" s="73"/>
      <c r="AI177" s="73"/>
      <c r="AJ177" s="73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129"/>
      <c r="CA177" s="129"/>
      <c r="CB177" s="129"/>
      <c r="CC177" s="129"/>
      <c r="CD177" s="129"/>
      <c r="CE177" s="129"/>
      <c r="CF177" s="129"/>
      <c r="CG177" s="37"/>
      <c r="CH177" s="42"/>
      <c r="CI177" s="43"/>
      <c r="CJ177" s="37"/>
      <c r="CK177" s="37"/>
      <c r="CL177" s="37"/>
      <c r="CM177" s="37"/>
      <c r="CN177" s="37"/>
      <c r="CO177" s="37"/>
      <c r="CP177" s="37"/>
      <c r="CQ177" s="37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44"/>
    </row>
    <row r="178" spans="1:114" ht="12.75" hidden="1" outlineLevel="1">
      <c r="A178" s="4"/>
      <c r="B178" s="63"/>
      <c r="C178" s="52"/>
      <c r="D178" s="52"/>
      <c r="E178" s="61"/>
      <c r="F178" s="61"/>
      <c r="G178" s="52"/>
      <c r="H178" s="63"/>
      <c r="I178" s="63"/>
      <c r="J178" s="65"/>
      <c r="K178" s="65"/>
      <c r="L178" s="65"/>
      <c r="M178" s="65"/>
      <c r="N178" s="65"/>
      <c r="O178" s="65"/>
      <c r="P178" s="65"/>
      <c r="Q178" s="65"/>
      <c r="R178" s="65"/>
      <c r="S178" s="68"/>
      <c r="T178" s="68"/>
      <c r="U178" s="65"/>
      <c r="V178" s="92"/>
      <c r="W178" s="92"/>
      <c r="X178" s="71"/>
      <c r="Y178" s="72"/>
      <c r="Z178" s="72"/>
      <c r="AA178" s="72"/>
      <c r="AB178" s="72"/>
      <c r="AC178" s="72"/>
      <c r="AD178" s="72"/>
      <c r="AE178" s="68"/>
      <c r="AF178" s="73"/>
      <c r="AG178" s="73"/>
      <c r="AH178" s="73"/>
      <c r="AI178" s="73"/>
      <c r="AJ178" s="73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129"/>
      <c r="CA178" s="129"/>
      <c r="CB178" s="129"/>
      <c r="CC178" s="129"/>
      <c r="CD178" s="129"/>
      <c r="CE178" s="129"/>
      <c r="CF178" s="129"/>
      <c r="CG178" s="37"/>
      <c r="CH178" s="42"/>
      <c r="CI178" s="43"/>
      <c r="CJ178" s="37"/>
      <c r="CK178" s="37"/>
      <c r="CL178" s="37"/>
      <c r="CM178" s="37"/>
      <c r="CN178" s="37"/>
      <c r="CO178" s="37"/>
      <c r="CP178" s="37"/>
      <c r="CQ178" s="37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44"/>
    </row>
    <row r="179" spans="1:114" ht="12.75" hidden="1" outlineLevel="1">
      <c r="A179" s="4"/>
      <c r="B179" s="63"/>
      <c r="C179" s="52"/>
      <c r="D179" s="52"/>
      <c r="E179" s="61"/>
      <c r="F179" s="61"/>
      <c r="G179" s="52"/>
      <c r="H179" s="63"/>
      <c r="I179" s="63"/>
      <c r="J179" s="65"/>
      <c r="K179" s="65"/>
      <c r="L179" s="65"/>
      <c r="M179" s="65"/>
      <c r="N179" s="65"/>
      <c r="O179" s="65"/>
      <c r="P179" s="65"/>
      <c r="Q179" s="65"/>
      <c r="R179" s="65"/>
      <c r="S179" s="68"/>
      <c r="T179" s="68"/>
      <c r="U179" s="65"/>
      <c r="V179" s="92"/>
      <c r="W179" s="92"/>
      <c r="X179" s="71"/>
      <c r="Y179" s="72"/>
      <c r="Z179" s="72"/>
      <c r="AA179" s="72"/>
      <c r="AB179" s="72"/>
      <c r="AC179" s="72"/>
      <c r="AD179" s="72"/>
      <c r="AE179" s="68"/>
      <c r="AF179" s="73"/>
      <c r="AG179" s="73"/>
      <c r="AH179" s="73"/>
      <c r="AI179" s="73"/>
      <c r="AJ179" s="73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129"/>
      <c r="CA179" s="129"/>
      <c r="CB179" s="129"/>
      <c r="CC179" s="129"/>
      <c r="CD179" s="129"/>
      <c r="CE179" s="129"/>
      <c r="CF179" s="129"/>
      <c r="CG179" s="37"/>
      <c r="CH179" s="42"/>
      <c r="CI179" s="43"/>
      <c r="CJ179" s="37"/>
      <c r="CK179" s="37"/>
      <c r="CL179" s="37"/>
      <c r="CM179" s="37"/>
      <c r="CN179" s="37"/>
      <c r="CO179" s="37"/>
      <c r="CP179" s="37"/>
      <c r="CQ179" s="37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44"/>
    </row>
    <row r="180" spans="1:114" ht="12.75" hidden="1" outlineLevel="1">
      <c r="A180" s="4"/>
      <c r="B180" s="63"/>
      <c r="C180" s="52"/>
      <c r="D180" s="52"/>
      <c r="E180" s="61"/>
      <c r="F180" s="61"/>
      <c r="G180" s="52"/>
      <c r="H180" s="63"/>
      <c r="I180" s="63"/>
      <c r="J180" s="65"/>
      <c r="K180" s="65"/>
      <c r="L180" s="65"/>
      <c r="M180" s="65"/>
      <c r="N180" s="65"/>
      <c r="O180" s="65"/>
      <c r="P180" s="65"/>
      <c r="Q180" s="65"/>
      <c r="R180" s="65"/>
      <c r="S180" s="68"/>
      <c r="T180" s="68"/>
      <c r="U180" s="65"/>
      <c r="V180" s="92"/>
      <c r="W180" s="92"/>
      <c r="X180" s="71"/>
      <c r="Y180" s="72"/>
      <c r="Z180" s="72"/>
      <c r="AA180" s="72"/>
      <c r="AB180" s="72"/>
      <c r="AC180" s="72"/>
      <c r="AD180" s="72"/>
      <c r="AE180" s="68"/>
      <c r="AF180" s="73"/>
      <c r="AG180" s="73"/>
      <c r="AH180" s="73"/>
      <c r="AI180" s="73"/>
      <c r="AJ180" s="73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129"/>
      <c r="CA180" s="129"/>
      <c r="CB180" s="129"/>
      <c r="CC180" s="129"/>
      <c r="CD180" s="129"/>
      <c r="CE180" s="129"/>
      <c r="CF180" s="129"/>
      <c r="CG180" s="37"/>
      <c r="CH180" s="42"/>
      <c r="CI180" s="43"/>
      <c r="CJ180" s="37"/>
      <c r="CK180" s="37"/>
      <c r="CL180" s="37"/>
      <c r="CM180" s="37"/>
      <c r="CN180" s="37"/>
      <c r="CO180" s="37"/>
      <c r="CP180" s="37"/>
      <c r="CQ180" s="37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44"/>
    </row>
    <row r="181" spans="1:114" ht="12.75" hidden="1" outlineLevel="1">
      <c r="A181" s="4"/>
      <c r="B181" s="63"/>
      <c r="C181" s="52"/>
      <c r="D181" s="52"/>
      <c r="E181" s="61"/>
      <c r="F181" s="61"/>
      <c r="G181" s="52"/>
      <c r="H181" s="63"/>
      <c r="I181" s="63"/>
      <c r="J181" s="65"/>
      <c r="K181" s="65"/>
      <c r="L181" s="65"/>
      <c r="M181" s="65"/>
      <c r="N181" s="65"/>
      <c r="O181" s="65"/>
      <c r="P181" s="65"/>
      <c r="Q181" s="65"/>
      <c r="R181" s="65"/>
      <c r="S181" s="68"/>
      <c r="T181" s="68"/>
      <c r="U181" s="65"/>
      <c r="V181" s="92"/>
      <c r="W181" s="92"/>
      <c r="X181" s="71"/>
      <c r="Y181" s="72"/>
      <c r="Z181" s="72"/>
      <c r="AA181" s="72"/>
      <c r="AB181" s="72"/>
      <c r="AC181" s="72"/>
      <c r="AD181" s="72"/>
      <c r="AE181" s="68"/>
      <c r="AF181" s="73"/>
      <c r="AG181" s="73"/>
      <c r="AH181" s="73"/>
      <c r="AI181" s="73"/>
      <c r="AJ181" s="73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129"/>
      <c r="CA181" s="129"/>
      <c r="CB181" s="129"/>
      <c r="CC181" s="129"/>
      <c r="CD181" s="129"/>
      <c r="CE181" s="129"/>
      <c r="CF181" s="129"/>
      <c r="CG181" s="37"/>
      <c r="CH181" s="42"/>
      <c r="CI181" s="43"/>
      <c r="CJ181" s="37"/>
      <c r="CK181" s="37"/>
      <c r="CL181" s="37"/>
      <c r="CM181" s="37"/>
      <c r="CN181" s="37"/>
      <c r="CO181" s="37"/>
      <c r="CP181" s="37"/>
      <c r="CQ181" s="37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44"/>
    </row>
    <row r="182" spans="1:114" ht="12.75" hidden="1" outlineLevel="1">
      <c r="A182" s="4"/>
      <c r="B182" s="63"/>
      <c r="C182" s="52"/>
      <c r="D182" s="52"/>
      <c r="E182" s="61"/>
      <c r="F182" s="61"/>
      <c r="G182" s="52"/>
      <c r="H182" s="63"/>
      <c r="I182" s="63"/>
      <c r="J182" s="65"/>
      <c r="K182" s="65"/>
      <c r="L182" s="65"/>
      <c r="M182" s="65"/>
      <c r="N182" s="65"/>
      <c r="O182" s="65"/>
      <c r="P182" s="65"/>
      <c r="Q182" s="65"/>
      <c r="R182" s="65"/>
      <c r="S182" s="68"/>
      <c r="T182" s="68"/>
      <c r="U182" s="65"/>
      <c r="V182" s="92"/>
      <c r="W182" s="92"/>
      <c r="X182" s="71"/>
      <c r="Y182" s="72"/>
      <c r="Z182" s="72"/>
      <c r="AA182" s="72"/>
      <c r="AB182" s="72"/>
      <c r="AC182" s="72"/>
      <c r="AD182" s="72"/>
      <c r="AE182" s="68"/>
      <c r="AF182" s="73"/>
      <c r="AG182" s="73"/>
      <c r="AH182" s="73"/>
      <c r="AI182" s="73"/>
      <c r="AJ182" s="73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129"/>
      <c r="CA182" s="129"/>
      <c r="CB182" s="129"/>
      <c r="CC182" s="129"/>
      <c r="CD182" s="129"/>
      <c r="CE182" s="129"/>
      <c r="CF182" s="129"/>
      <c r="CG182" s="37"/>
      <c r="CH182" s="42"/>
      <c r="CI182" s="43"/>
      <c r="CJ182" s="37"/>
      <c r="CK182" s="37"/>
      <c r="CL182" s="37"/>
      <c r="CM182" s="37"/>
      <c r="CN182" s="37"/>
      <c r="CO182" s="37"/>
      <c r="CP182" s="37"/>
      <c r="CQ182" s="37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44"/>
    </row>
    <row r="183" spans="1:114" ht="12.75" hidden="1" outlineLevel="1">
      <c r="A183" s="4"/>
      <c r="B183" s="63"/>
      <c r="C183" s="52"/>
      <c r="D183" s="52"/>
      <c r="E183" s="61"/>
      <c r="F183" s="61"/>
      <c r="G183" s="52"/>
      <c r="H183" s="63"/>
      <c r="I183" s="63"/>
      <c r="J183" s="65"/>
      <c r="K183" s="65"/>
      <c r="L183" s="65"/>
      <c r="M183" s="65"/>
      <c r="N183" s="65"/>
      <c r="O183" s="65"/>
      <c r="P183" s="65"/>
      <c r="Q183" s="65"/>
      <c r="R183" s="65"/>
      <c r="S183" s="68"/>
      <c r="T183" s="68"/>
      <c r="U183" s="65"/>
      <c r="V183" s="92"/>
      <c r="W183" s="92"/>
      <c r="X183" s="71"/>
      <c r="Y183" s="72"/>
      <c r="Z183" s="72"/>
      <c r="AA183" s="72"/>
      <c r="AB183" s="72"/>
      <c r="AC183" s="72"/>
      <c r="AD183" s="72"/>
      <c r="AE183" s="68"/>
      <c r="AF183" s="73"/>
      <c r="AG183" s="73"/>
      <c r="AH183" s="73"/>
      <c r="AI183" s="73"/>
      <c r="AJ183" s="73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129"/>
      <c r="CA183" s="129"/>
      <c r="CB183" s="129"/>
      <c r="CC183" s="129"/>
      <c r="CD183" s="129"/>
      <c r="CE183" s="129"/>
      <c r="CF183" s="129"/>
      <c r="CG183" s="37"/>
      <c r="CH183" s="42"/>
      <c r="CI183" s="43"/>
      <c r="CJ183" s="37"/>
      <c r="CK183" s="37"/>
      <c r="CL183" s="37"/>
      <c r="CM183" s="37"/>
      <c r="CN183" s="37"/>
      <c r="CO183" s="37"/>
      <c r="CP183" s="37"/>
      <c r="CQ183" s="37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44"/>
    </row>
    <row r="184" spans="1:114" ht="12.75" hidden="1" outlineLevel="1">
      <c r="A184" s="4"/>
      <c r="B184" s="63"/>
      <c r="C184" s="52"/>
      <c r="D184" s="52"/>
      <c r="E184" s="61"/>
      <c r="F184" s="61"/>
      <c r="G184" s="52"/>
      <c r="H184" s="63"/>
      <c r="I184" s="63"/>
      <c r="J184" s="65"/>
      <c r="K184" s="65"/>
      <c r="L184" s="65"/>
      <c r="M184" s="65"/>
      <c r="N184" s="65"/>
      <c r="O184" s="65"/>
      <c r="P184" s="65"/>
      <c r="Q184" s="65"/>
      <c r="R184" s="65"/>
      <c r="S184" s="68"/>
      <c r="T184" s="68"/>
      <c r="U184" s="65"/>
      <c r="V184" s="92"/>
      <c r="W184" s="92"/>
      <c r="X184" s="71"/>
      <c r="Y184" s="72"/>
      <c r="Z184" s="72"/>
      <c r="AA184" s="72"/>
      <c r="AB184" s="72"/>
      <c r="AC184" s="72"/>
      <c r="AD184" s="72"/>
      <c r="AE184" s="68"/>
      <c r="AF184" s="73"/>
      <c r="AG184" s="73"/>
      <c r="AH184" s="73"/>
      <c r="AI184" s="73"/>
      <c r="AJ184" s="73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129"/>
      <c r="CA184" s="129"/>
      <c r="CB184" s="129"/>
      <c r="CC184" s="129"/>
      <c r="CD184" s="129"/>
      <c r="CE184" s="129"/>
      <c r="CF184" s="129"/>
      <c r="CG184" s="37"/>
      <c r="CH184" s="42"/>
      <c r="CI184" s="43"/>
      <c r="CJ184" s="37"/>
      <c r="CK184" s="37"/>
      <c r="CL184" s="37"/>
      <c r="CM184" s="37"/>
      <c r="CN184" s="37"/>
      <c r="CO184" s="37"/>
      <c r="CP184" s="37"/>
      <c r="CQ184" s="37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44"/>
    </row>
    <row r="185" spans="1:114" ht="12.75" hidden="1" outlineLevel="1">
      <c r="A185" s="4"/>
      <c r="B185" s="63"/>
      <c r="C185" s="52"/>
      <c r="D185" s="52"/>
      <c r="E185" s="61"/>
      <c r="F185" s="61"/>
      <c r="G185" s="52"/>
      <c r="H185" s="63"/>
      <c r="I185" s="63"/>
      <c r="J185" s="65"/>
      <c r="K185" s="65"/>
      <c r="L185" s="65"/>
      <c r="M185" s="65"/>
      <c r="N185" s="65"/>
      <c r="O185" s="65"/>
      <c r="P185" s="65"/>
      <c r="Q185" s="65"/>
      <c r="R185" s="65"/>
      <c r="S185" s="68"/>
      <c r="T185" s="68"/>
      <c r="U185" s="65"/>
      <c r="V185" s="92"/>
      <c r="W185" s="92"/>
      <c r="X185" s="71"/>
      <c r="Y185" s="72"/>
      <c r="Z185" s="72"/>
      <c r="AA185" s="72"/>
      <c r="AB185" s="72"/>
      <c r="AC185" s="72"/>
      <c r="AD185" s="72"/>
      <c r="AE185" s="68"/>
      <c r="AF185" s="73"/>
      <c r="AG185" s="73"/>
      <c r="AH185" s="73"/>
      <c r="AI185" s="73"/>
      <c r="AJ185" s="73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129"/>
      <c r="CA185" s="129"/>
      <c r="CB185" s="129"/>
      <c r="CC185" s="129"/>
      <c r="CD185" s="129"/>
      <c r="CE185" s="129"/>
      <c r="CF185" s="129"/>
      <c r="CG185" s="37"/>
      <c r="CH185" s="42"/>
      <c r="CI185" s="43"/>
      <c r="CJ185" s="37"/>
      <c r="CK185" s="37"/>
      <c r="CL185" s="37"/>
      <c r="CM185" s="37"/>
      <c r="CN185" s="37"/>
      <c r="CO185" s="37"/>
      <c r="CP185" s="37"/>
      <c r="CQ185" s="37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44"/>
    </row>
    <row r="186" spans="1:114" ht="12.75" hidden="1" outlineLevel="1">
      <c r="A186" s="4"/>
      <c r="B186" s="63"/>
      <c r="C186" s="52"/>
      <c r="D186" s="52"/>
      <c r="E186" s="61"/>
      <c r="F186" s="61"/>
      <c r="G186" s="52"/>
      <c r="H186" s="63"/>
      <c r="I186" s="63"/>
      <c r="J186" s="65"/>
      <c r="K186" s="65"/>
      <c r="L186" s="65"/>
      <c r="M186" s="65"/>
      <c r="N186" s="65"/>
      <c r="O186" s="65"/>
      <c r="P186" s="65"/>
      <c r="Q186" s="65"/>
      <c r="R186" s="65"/>
      <c r="S186" s="68"/>
      <c r="T186" s="68"/>
      <c r="U186" s="65"/>
      <c r="V186" s="92"/>
      <c r="W186" s="92"/>
      <c r="X186" s="71"/>
      <c r="Y186" s="72"/>
      <c r="Z186" s="72"/>
      <c r="AA186" s="72"/>
      <c r="AB186" s="72"/>
      <c r="AC186" s="72"/>
      <c r="AD186" s="72"/>
      <c r="AE186" s="68"/>
      <c r="AF186" s="73"/>
      <c r="AG186" s="73"/>
      <c r="AH186" s="73"/>
      <c r="AI186" s="73"/>
      <c r="AJ186" s="73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129"/>
      <c r="CA186" s="129"/>
      <c r="CB186" s="129"/>
      <c r="CC186" s="129"/>
      <c r="CD186" s="129"/>
      <c r="CE186" s="129"/>
      <c r="CF186" s="129"/>
      <c r="CG186" s="37"/>
      <c r="CH186" s="42"/>
      <c r="CI186" s="43"/>
      <c r="CJ186" s="37"/>
      <c r="CK186" s="37"/>
      <c r="CL186" s="37"/>
      <c r="CM186" s="37"/>
      <c r="CN186" s="37"/>
      <c r="CO186" s="37"/>
      <c r="CP186" s="37"/>
      <c r="CQ186" s="37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44"/>
    </row>
    <row r="187" spans="1:114" ht="12.75" hidden="1" outlineLevel="1">
      <c r="A187" s="4"/>
      <c r="B187" s="63"/>
      <c r="C187" s="52"/>
      <c r="D187" s="52"/>
      <c r="E187" s="61"/>
      <c r="F187" s="61"/>
      <c r="G187" s="52"/>
      <c r="H187" s="63"/>
      <c r="I187" s="63"/>
      <c r="J187" s="65"/>
      <c r="K187" s="65"/>
      <c r="L187" s="65"/>
      <c r="M187" s="65"/>
      <c r="N187" s="65"/>
      <c r="O187" s="65"/>
      <c r="P187" s="65"/>
      <c r="Q187" s="65"/>
      <c r="R187" s="65"/>
      <c r="S187" s="68"/>
      <c r="T187" s="68"/>
      <c r="U187" s="65"/>
      <c r="V187" s="92"/>
      <c r="W187" s="92"/>
      <c r="X187" s="71"/>
      <c r="Y187" s="72"/>
      <c r="Z187" s="72"/>
      <c r="AA187" s="72"/>
      <c r="AB187" s="72"/>
      <c r="AC187" s="72"/>
      <c r="AD187" s="72"/>
      <c r="AE187" s="68"/>
      <c r="AF187" s="73"/>
      <c r="AG187" s="73"/>
      <c r="AH187" s="73"/>
      <c r="AI187" s="73"/>
      <c r="AJ187" s="73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129"/>
      <c r="CA187" s="129"/>
      <c r="CB187" s="129"/>
      <c r="CC187" s="129"/>
      <c r="CD187" s="129"/>
      <c r="CE187" s="129"/>
      <c r="CF187" s="129"/>
      <c r="CG187" s="37"/>
      <c r="CH187" s="42"/>
      <c r="CI187" s="43"/>
      <c r="CJ187" s="37"/>
      <c r="CK187" s="37"/>
      <c r="CL187" s="37"/>
      <c r="CM187" s="37"/>
      <c r="CN187" s="37"/>
      <c r="CO187" s="37"/>
      <c r="CP187" s="37"/>
      <c r="CQ187" s="37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44"/>
    </row>
    <row r="188" spans="1:114" ht="12.75" hidden="1" outlineLevel="1">
      <c r="A188" s="4"/>
      <c r="B188" s="63"/>
      <c r="C188" s="52"/>
      <c r="D188" s="52"/>
      <c r="E188" s="61"/>
      <c r="F188" s="61"/>
      <c r="G188" s="52"/>
      <c r="H188" s="63"/>
      <c r="I188" s="63"/>
      <c r="J188" s="65"/>
      <c r="K188" s="65"/>
      <c r="L188" s="65"/>
      <c r="M188" s="65"/>
      <c r="N188" s="65"/>
      <c r="O188" s="65"/>
      <c r="P188" s="65"/>
      <c r="Q188" s="65"/>
      <c r="R188" s="65"/>
      <c r="S188" s="68"/>
      <c r="T188" s="68"/>
      <c r="U188" s="65"/>
      <c r="V188" s="92"/>
      <c r="W188" s="92"/>
      <c r="X188" s="71"/>
      <c r="Y188" s="72"/>
      <c r="Z188" s="72"/>
      <c r="AA188" s="72"/>
      <c r="AB188" s="72"/>
      <c r="AC188" s="72"/>
      <c r="AD188" s="72"/>
      <c r="AE188" s="68"/>
      <c r="AF188" s="73"/>
      <c r="AG188" s="73"/>
      <c r="AH188" s="73"/>
      <c r="AI188" s="73"/>
      <c r="AJ188" s="73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129"/>
      <c r="CA188" s="129"/>
      <c r="CB188" s="129"/>
      <c r="CC188" s="129"/>
      <c r="CD188" s="129"/>
      <c r="CE188" s="129"/>
      <c r="CF188" s="129"/>
      <c r="CG188" s="37"/>
      <c r="CH188" s="42"/>
      <c r="CI188" s="43"/>
      <c r="CJ188" s="37"/>
      <c r="CK188" s="37"/>
      <c r="CL188" s="37"/>
      <c r="CM188" s="37"/>
      <c r="CN188" s="37"/>
      <c r="CO188" s="37"/>
      <c r="CP188" s="37"/>
      <c r="CQ188" s="37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44"/>
    </row>
    <row r="189" spans="1:114" ht="12.75" hidden="1" outlineLevel="1">
      <c r="A189" s="4"/>
      <c r="B189" s="63"/>
      <c r="C189" s="52"/>
      <c r="D189" s="52"/>
      <c r="E189" s="61"/>
      <c r="F189" s="61"/>
      <c r="G189" s="52"/>
      <c r="H189" s="63"/>
      <c r="I189" s="63"/>
      <c r="J189" s="65"/>
      <c r="K189" s="65"/>
      <c r="L189" s="65"/>
      <c r="M189" s="65"/>
      <c r="N189" s="65"/>
      <c r="O189" s="65"/>
      <c r="P189" s="65"/>
      <c r="Q189" s="65"/>
      <c r="R189" s="65"/>
      <c r="S189" s="68"/>
      <c r="T189" s="68"/>
      <c r="U189" s="65"/>
      <c r="V189" s="92"/>
      <c r="W189" s="92"/>
      <c r="X189" s="71"/>
      <c r="Y189" s="72"/>
      <c r="Z189" s="72"/>
      <c r="AA189" s="72"/>
      <c r="AB189" s="72"/>
      <c r="AC189" s="72"/>
      <c r="AD189" s="72"/>
      <c r="AE189" s="68"/>
      <c r="AF189" s="73"/>
      <c r="AG189" s="73"/>
      <c r="AH189" s="73"/>
      <c r="AI189" s="73"/>
      <c r="AJ189" s="73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129"/>
      <c r="CA189" s="129"/>
      <c r="CB189" s="129"/>
      <c r="CC189" s="129"/>
      <c r="CD189" s="129"/>
      <c r="CE189" s="129"/>
      <c r="CF189" s="129"/>
      <c r="CG189" s="37"/>
      <c r="CH189" s="42"/>
      <c r="CI189" s="43"/>
      <c r="CJ189" s="37"/>
      <c r="CK189" s="37"/>
      <c r="CL189" s="37"/>
      <c r="CM189" s="37"/>
      <c r="CN189" s="37"/>
      <c r="CO189" s="37"/>
      <c r="CP189" s="37"/>
      <c r="CQ189" s="37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44"/>
    </row>
    <row r="190" spans="1:114" ht="12.75" hidden="1" outlineLevel="1">
      <c r="A190" s="4"/>
      <c r="B190" s="63"/>
      <c r="C190" s="52"/>
      <c r="D190" s="52"/>
      <c r="E190" s="61"/>
      <c r="F190" s="61"/>
      <c r="G190" s="52"/>
      <c r="H190" s="63"/>
      <c r="I190" s="63"/>
      <c r="J190" s="65"/>
      <c r="K190" s="65"/>
      <c r="L190" s="65"/>
      <c r="M190" s="65"/>
      <c r="N190" s="65"/>
      <c r="O190" s="65"/>
      <c r="P190" s="65"/>
      <c r="Q190" s="65"/>
      <c r="R190" s="65"/>
      <c r="S190" s="68"/>
      <c r="T190" s="68"/>
      <c r="U190" s="65"/>
      <c r="V190" s="92"/>
      <c r="W190" s="92"/>
      <c r="X190" s="71"/>
      <c r="Y190" s="72"/>
      <c r="Z190" s="72"/>
      <c r="AA190" s="72"/>
      <c r="AB190" s="72"/>
      <c r="AC190" s="72"/>
      <c r="AD190" s="72"/>
      <c r="AE190" s="68"/>
      <c r="AF190" s="73"/>
      <c r="AG190" s="73"/>
      <c r="AH190" s="73"/>
      <c r="AI190" s="73"/>
      <c r="AJ190" s="73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129"/>
      <c r="CA190" s="129"/>
      <c r="CB190" s="129"/>
      <c r="CC190" s="129"/>
      <c r="CD190" s="129"/>
      <c r="CE190" s="129"/>
      <c r="CF190" s="129"/>
      <c r="CG190" s="37"/>
      <c r="CH190" s="42"/>
      <c r="CI190" s="43"/>
      <c r="CJ190" s="37"/>
      <c r="CK190" s="37"/>
      <c r="CL190" s="37"/>
      <c r="CM190" s="37"/>
      <c r="CN190" s="37"/>
      <c r="CO190" s="37"/>
      <c r="CP190" s="37"/>
      <c r="CQ190" s="37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44"/>
    </row>
    <row r="191" spans="1:114" ht="12.75" hidden="1" outlineLevel="1">
      <c r="A191" s="4"/>
      <c r="B191" s="63"/>
      <c r="C191" s="52"/>
      <c r="D191" s="52"/>
      <c r="E191" s="61"/>
      <c r="F191" s="61"/>
      <c r="G191" s="52"/>
      <c r="H191" s="63"/>
      <c r="I191" s="63"/>
      <c r="J191" s="65"/>
      <c r="K191" s="65"/>
      <c r="L191" s="65"/>
      <c r="M191" s="65"/>
      <c r="N191" s="65"/>
      <c r="O191" s="65"/>
      <c r="P191" s="65"/>
      <c r="Q191" s="65"/>
      <c r="R191" s="65"/>
      <c r="S191" s="68"/>
      <c r="T191" s="68"/>
      <c r="U191" s="65"/>
      <c r="V191" s="92"/>
      <c r="W191" s="92"/>
      <c r="X191" s="71"/>
      <c r="Y191" s="72"/>
      <c r="Z191" s="72"/>
      <c r="AA191" s="72"/>
      <c r="AB191" s="72"/>
      <c r="AC191" s="72"/>
      <c r="AD191" s="72"/>
      <c r="AE191" s="68"/>
      <c r="AF191" s="73"/>
      <c r="AG191" s="73"/>
      <c r="AH191" s="73"/>
      <c r="AI191" s="73"/>
      <c r="AJ191" s="73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129"/>
      <c r="CA191" s="129"/>
      <c r="CB191" s="129"/>
      <c r="CC191" s="129"/>
      <c r="CD191" s="129"/>
      <c r="CE191" s="129"/>
      <c r="CF191" s="129"/>
      <c r="CG191" s="37"/>
      <c r="CH191" s="42"/>
      <c r="CI191" s="43"/>
      <c r="CJ191" s="37"/>
      <c r="CK191" s="37"/>
      <c r="CL191" s="37"/>
      <c r="CM191" s="37"/>
      <c r="CN191" s="37"/>
      <c r="CO191" s="37"/>
      <c r="CP191" s="37"/>
      <c r="CQ191" s="37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44"/>
    </row>
    <row r="192" spans="1:114" ht="12.75" hidden="1" outlineLevel="1">
      <c r="A192" s="4"/>
      <c r="B192" s="63"/>
      <c r="C192" s="52"/>
      <c r="D192" s="52"/>
      <c r="E192" s="61"/>
      <c r="F192" s="61"/>
      <c r="G192" s="52"/>
      <c r="H192" s="63"/>
      <c r="I192" s="63"/>
      <c r="J192" s="65"/>
      <c r="K192" s="65"/>
      <c r="L192" s="65"/>
      <c r="M192" s="65"/>
      <c r="N192" s="65"/>
      <c r="O192" s="65"/>
      <c r="P192" s="65"/>
      <c r="Q192" s="65"/>
      <c r="R192" s="65"/>
      <c r="S192" s="68"/>
      <c r="T192" s="68"/>
      <c r="U192" s="65"/>
      <c r="V192" s="92"/>
      <c r="W192" s="92"/>
      <c r="X192" s="71"/>
      <c r="Y192" s="72"/>
      <c r="Z192" s="72"/>
      <c r="AA192" s="72"/>
      <c r="AB192" s="72"/>
      <c r="AC192" s="72"/>
      <c r="AD192" s="72"/>
      <c r="AE192" s="68"/>
      <c r="AF192" s="73"/>
      <c r="AG192" s="73"/>
      <c r="AH192" s="73"/>
      <c r="AI192" s="73"/>
      <c r="AJ192" s="73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129"/>
      <c r="CA192" s="129"/>
      <c r="CB192" s="129"/>
      <c r="CC192" s="129"/>
      <c r="CD192" s="129"/>
      <c r="CE192" s="129"/>
      <c r="CF192" s="129"/>
      <c r="CG192" s="37"/>
      <c r="CH192" s="42"/>
      <c r="CI192" s="43"/>
      <c r="CJ192" s="37"/>
      <c r="CK192" s="37"/>
      <c r="CL192" s="37"/>
      <c r="CM192" s="37"/>
      <c r="CN192" s="37"/>
      <c r="CO192" s="37"/>
      <c r="CP192" s="37"/>
      <c r="CQ192" s="37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44"/>
    </row>
    <row r="193" spans="1:114" ht="12.75" hidden="1" outlineLevel="1">
      <c r="A193" s="4"/>
      <c r="B193" s="63"/>
      <c r="C193" s="52"/>
      <c r="D193" s="52"/>
      <c r="E193" s="61"/>
      <c r="F193" s="61"/>
      <c r="G193" s="52"/>
      <c r="H193" s="63"/>
      <c r="I193" s="63"/>
      <c r="J193" s="65"/>
      <c r="K193" s="65"/>
      <c r="L193" s="65"/>
      <c r="M193" s="65"/>
      <c r="N193" s="65"/>
      <c r="O193" s="65"/>
      <c r="P193" s="65"/>
      <c r="Q193" s="65"/>
      <c r="R193" s="65"/>
      <c r="S193" s="68"/>
      <c r="T193" s="68"/>
      <c r="U193" s="65"/>
      <c r="V193" s="92"/>
      <c r="W193" s="92"/>
      <c r="X193" s="71"/>
      <c r="Y193" s="72"/>
      <c r="Z193" s="72"/>
      <c r="AA193" s="72"/>
      <c r="AB193" s="72"/>
      <c r="AC193" s="72"/>
      <c r="AD193" s="72"/>
      <c r="AE193" s="68"/>
      <c r="AF193" s="73"/>
      <c r="AG193" s="73"/>
      <c r="AH193" s="73"/>
      <c r="AI193" s="73"/>
      <c r="AJ193" s="73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129"/>
      <c r="CA193" s="129"/>
      <c r="CB193" s="129"/>
      <c r="CC193" s="129"/>
      <c r="CD193" s="129"/>
      <c r="CE193" s="129"/>
      <c r="CF193" s="129"/>
      <c r="CG193" s="37"/>
      <c r="CH193" s="42"/>
      <c r="CI193" s="43"/>
      <c r="CJ193" s="37"/>
      <c r="CK193" s="37"/>
      <c r="CL193" s="37"/>
      <c r="CM193" s="37"/>
      <c r="CN193" s="37"/>
      <c r="CO193" s="37"/>
      <c r="CP193" s="37"/>
      <c r="CQ193" s="37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44"/>
    </row>
    <row r="194" spans="1:114" ht="12.75" hidden="1" outlineLevel="1">
      <c r="A194" s="4"/>
      <c r="B194" s="63"/>
      <c r="C194" s="52"/>
      <c r="D194" s="52"/>
      <c r="E194" s="61"/>
      <c r="F194" s="61"/>
      <c r="G194" s="52"/>
      <c r="H194" s="63"/>
      <c r="I194" s="63"/>
      <c r="J194" s="65"/>
      <c r="K194" s="65"/>
      <c r="L194" s="65"/>
      <c r="M194" s="65"/>
      <c r="N194" s="65"/>
      <c r="O194" s="65"/>
      <c r="P194" s="65"/>
      <c r="Q194" s="65"/>
      <c r="R194" s="65"/>
      <c r="S194" s="68"/>
      <c r="T194" s="68"/>
      <c r="U194" s="65"/>
      <c r="V194" s="92"/>
      <c r="W194" s="92"/>
      <c r="X194" s="71"/>
      <c r="Y194" s="72"/>
      <c r="Z194" s="72"/>
      <c r="AA194" s="72"/>
      <c r="AB194" s="72"/>
      <c r="AC194" s="72"/>
      <c r="AD194" s="72"/>
      <c r="AE194" s="68"/>
      <c r="AF194" s="73"/>
      <c r="AG194" s="73"/>
      <c r="AH194" s="73"/>
      <c r="AI194" s="73"/>
      <c r="AJ194" s="73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129"/>
      <c r="CA194" s="129"/>
      <c r="CB194" s="129"/>
      <c r="CC194" s="129"/>
      <c r="CD194" s="129"/>
      <c r="CE194" s="129"/>
      <c r="CF194" s="129"/>
      <c r="CG194" s="37"/>
      <c r="CH194" s="42"/>
      <c r="CI194" s="43"/>
      <c r="CJ194" s="37"/>
      <c r="CK194" s="37"/>
      <c r="CL194" s="37"/>
      <c r="CM194" s="37"/>
      <c r="CN194" s="37"/>
      <c r="CO194" s="37"/>
      <c r="CP194" s="37"/>
      <c r="CQ194" s="37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44"/>
    </row>
    <row r="195" spans="1:114" ht="12.75" hidden="1" outlineLevel="1">
      <c r="A195" s="4"/>
      <c r="B195" s="63"/>
      <c r="C195" s="52"/>
      <c r="D195" s="52"/>
      <c r="E195" s="61"/>
      <c r="F195" s="61"/>
      <c r="G195" s="52"/>
      <c r="H195" s="63"/>
      <c r="I195" s="63"/>
      <c r="J195" s="65"/>
      <c r="K195" s="65"/>
      <c r="L195" s="65"/>
      <c r="M195" s="65"/>
      <c r="N195" s="65"/>
      <c r="O195" s="65"/>
      <c r="P195" s="65"/>
      <c r="Q195" s="65"/>
      <c r="R195" s="65"/>
      <c r="S195" s="68"/>
      <c r="T195" s="68"/>
      <c r="U195" s="65"/>
      <c r="V195" s="92"/>
      <c r="W195" s="92"/>
      <c r="X195" s="71"/>
      <c r="Y195" s="72"/>
      <c r="Z195" s="72"/>
      <c r="AA195" s="72"/>
      <c r="AB195" s="72"/>
      <c r="AC195" s="72"/>
      <c r="AD195" s="72"/>
      <c r="AE195" s="68"/>
      <c r="AF195" s="73"/>
      <c r="AG195" s="73"/>
      <c r="AH195" s="73"/>
      <c r="AI195" s="73"/>
      <c r="AJ195" s="73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129"/>
      <c r="CA195" s="129"/>
      <c r="CB195" s="129"/>
      <c r="CC195" s="129"/>
      <c r="CD195" s="129"/>
      <c r="CE195" s="129"/>
      <c r="CF195" s="129"/>
      <c r="CG195" s="37"/>
      <c r="CH195" s="42"/>
      <c r="CI195" s="43"/>
      <c r="CJ195" s="37"/>
      <c r="CK195" s="37"/>
      <c r="CL195" s="37"/>
      <c r="CM195" s="37"/>
      <c r="CN195" s="37"/>
      <c r="CO195" s="37"/>
      <c r="CP195" s="37"/>
      <c r="CQ195" s="37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44"/>
    </row>
    <row r="196" spans="1:114" ht="12.75" hidden="1" outlineLevel="1">
      <c r="A196" s="4"/>
      <c r="B196" s="63"/>
      <c r="C196" s="52"/>
      <c r="D196" s="52"/>
      <c r="E196" s="61"/>
      <c r="F196" s="61"/>
      <c r="G196" s="52"/>
      <c r="H196" s="63"/>
      <c r="I196" s="63"/>
      <c r="J196" s="65"/>
      <c r="K196" s="65"/>
      <c r="L196" s="65"/>
      <c r="M196" s="65"/>
      <c r="N196" s="65"/>
      <c r="O196" s="65"/>
      <c r="P196" s="65"/>
      <c r="Q196" s="65"/>
      <c r="R196" s="65"/>
      <c r="S196" s="68"/>
      <c r="T196" s="68"/>
      <c r="U196" s="65"/>
      <c r="V196" s="92"/>
      <c r="W196" s="92"/>
      <c r="X196" s="71"/>
      <c r="Y196" s="72"/>
      <c r="Z196" s="72"/>
      <c r="AA196" s="72"/>
      <c r="AB196" s="72"/>
      <c r="AC196" s="72"/>
      <c r="AD196" s="72"/>
      <c r="AE196" s="68"/>
      <c r="AF196" s="73"/>
      <c r="AG196" s="73"/>
      <c r="AH196" s="73"/>
      <c r="AI196" s="73"/>
      <c r="AJ196" s="73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129"/>
      <c r="CA196" s="129"/>
      <c r="CB196" s="129"/>
      <c r="CC196" s="129"/>
      <c r="CD196" s="129"/>
      <c r="CE196" s="129"/>
      <c r="CF196" s="129"/>
      <c r="CG196" s="37"/>
      <c r="CH196" s="42"/>
      <c r="CI196" s="43"/>
      <c r="CJ196" s="37"/>
      <c r="CK196" s="37"/>
      <c r="CL196" s="37"/>
      <c r="CM196" s="37"/>
      <c r="CN196" s="37"/>
      <c r="CO196" s="37"/>
      <c r="CP196" s="37"/>
      <c r="CQ196" s="37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44"/>
    </row>
    <row r="197" spans="1:114" ht="12.75" hidden="1" outlineLevel="1">
      <c r="A197" s="4"/>
      <c r="B197" s="63"/>
      <c r="C197" s="52"/>
      <c r="D197" s="52"/>
      <c r="E197" s="61"/>
      <c r="F197" s="61"/>
      <c r="G197" s="52"/>
      <c r="H197" s="63"/>
      <c r="I197" s="63"/>
      <c r="J197" s="65"/>
      <c r="K197" s="65"/>
      <c r="L197" s="65"/>
      <c r="M197" s="65"/>
      <c r="N197" s="65"/>
      <c r="O197" s="65"/>
      <c r="P197" s="65"/>
      <c r="Q197" s="65"/>
      <c r="R197" s="65"/>
      <c r="S197" s="68"/>
      <c r="T197" s="68"/>
      <c r="U197" s="65"/>
      <c r="V197" s="92"/>
      <c r="W197" s="92"/>
      <c r="X197" s="71"/>
      <c r="Y197" s="72"/>
      <c r="Z197" s="72"/>
      <c r="AA197" s="72"/>
      <c r="AB197" s="72"/>
      <c r="AC197" s="72"/>
      <c r="AD197" s="72"/>
      <c r="AE197" s="68"/>
      <c r="AF197" s="73"/>
      <c r="AG197" s="73"/>
      <c r="AH197" s="73"/>
      <c r="AI197" s="73"/>
      <c r="AJ197" s="73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129"/>
      <c r="CA197" s="129"/>
      <c r="CB197" s="129"/>
      <c r="CC197" s="129"/>
      <c r="CD197" s="129"/>
      <c r="CE197" s="129"/>
      <c r="CF197" s="129"/>
      <c r="CG197" s="37"/>
      <c r="CH197" s="42"/>
      <c r="CI197" s="43"/>
      <c r="CJ197" s="37"/>
      <c r="CK197" s="37"/>
      <c r="CL197" s="37"/>
      <c r="CM197" s="37"/>
      <c r="CN197" s="37"/>
      <c r="CO197" s="37"/>
      <c r="CP197" s="37"/>
      <c r="CQ197" s="37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44"/>
    </row>
    <row r="198" spans="1:114" ht="12.75" hidden="1" outlineLevel="1">
      <c r="A198" s="4"/>
      <c r="B198" s="63"/>
      <c r="C198" s="52"/>
      <c r="D198" s="52"/>
      <c r="E198" s="61"/>
      <c r="F198" s="61"/>
      <c r="G198" s="52"/>
      <c r="H198" s="63"/>
      <c r="I198" s="63"/>
      <c r="J198" s="65"/>
      <c r="K198" s="65"/>
      <c r="L198" s="65"/>
      <c r="M198" s="65"/>
      <c r="N198" s="65"/>
      <c r="O198" s="65"/>
      <c r="P198" s="65"/>
      <c r="Q198" s="65"/>
      <c r="R198" s="65"/>
      <c r="S198" s="68"/>
      <c r="T198" s="68"/>
      <c r="U198" s="65"/>
      <c r="V198" s="92"/>
      <c r="W198" s="92"/>
      <c r="X198" s="71"/>
      <c r="Y198" s="72"/>
      <c r="Z198" s="72"/>
      <c r="AA198" s="72"/>
      <c r="AB198" s="72"/>
      <c r="AC198" s="72"/>
      <c r="AD198" s="72"/>
      <c r="AE198" s="68"/>
      <c r="AF198" s="73"/>
      <c r="AG198" s="73"/>
      <c r="AH198" s="73"/>
      <c r="AI198" s="73"/>
      <c r="AJ198" s="73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129"/>
      <c r="CA198" s="129"/>
      <c r="CB198" s="129"/>
      <c r="CC198" s="129"/>
      <c r="CD198" s="129"/>
      <c r="CE198" s="129"/>
      <c r="CF198" s="129"/>
      <c r="CG198" s="37"/>
      <c r="CH198" s="42"/>
      <c r="CI198" s="43"/>
      <c r="CJ198" s="37"/>
      <c r="CK198" s="37"/>
      <c r="CL198" s="37"/>
      <c r="CM198" s="37"/>
      <c r="CN198" s="37"/>
      <c r="CO198" s="37"/>
      <c r="CP198" s="37"/>
      <c r="CQ198" s="37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44"/>
    </row>
    <row r="199" spans="1:114" ht="12.75" hidden="1" outlineLevel="1">
      <c r="A199" s="4"/>
      <c r="B199" s="63"/>
      <c r="C199" s="52"/>
      <c r="D199" s="52"/>
      <c r="E199" s="61"/>
      <c r="F199" s="61"/>
      <c r="G199" s="52"/>
      <c r="H199" s="63"/>
      <c r="I199" s="63"/>
      <c r="J199" s="65"/>
      <c r="K199" s="65"/>
      <c r="L199" s="65"/>
      <c r="M199" s="65"/>
      <c r="N199" s="65"/>
      <c r="O199" s="65"/>
      <c r="P199" s="65"/>
      <c r="Q199" s="65"/>
      <c r="R199" s="65"/>
      <c r="S199" s="68"/>
      <c r="T199" s="68"/>
      <c r="U199" s="65"/>
      <c r="V199" s="92"/>
      <c r="W199" s="92"/>
      <c r="X199" s="71"/>
      <c r="Y199" s="72"/>
      <c r="Z199" s="72"/>
      <c r="AA199" s="72"/>
      <c r="AB199" s="72"/>
      <c r="AC199" s="72"/>
      <c r="AD199" s="72"/>
      <c r="AE199" s="68"/>
      <c r="AF199" s="73"/>
      <c r="AG199" s="73"/>
      <c r="AH199" s="73"/>
      <c r="AI199" s="73"/>
      <c r="AJ199" s="73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129"/>
      <c r="CA199" s="129"/>
      <c r="CB199" s="129"/>
      <c r="CC199" s="129"/>
      <c r="CD199" s="129"/>
      <c r="CE199" s="129"/>
      <c r="CF199" s="129"/>
      <c r="CG199" s="37"/>
      <c r="CH199" s="42"/>
      <c r="CI199" s="43"/>
      <c r="CJ199" s="37"/>
      <c r="CK199" s="37"/>
      <c r="CL199" s="37"/>
      <c r="CM199" s="37"/>
      <c r="CN199" s="37"/>
      <c r="CO199" s="37"/>
      <c r="CP199" s="37"/>
      <c r="CQ199" s="37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44"/>
    </row>
    <row r="200" spans="1:114" ht="12.75" hidden="1" outlineLevel="1">
      <c r="A200" s="4"/>
      <c r="B200" s="63"/>
      <c r="C200" s="52"/>
      <c r="D200" s="52"/>
      <c r="E200" s="61"/>
      <c r="F200" s="61"/>
      <c r="G200" s="52"/>
      <c r="H200" s="63"/>
      <c r="I200" s="63"/>
      <c r="J200" s="65"/>
      <c r="K200" s="65"/>
      <c r="L200" s="65"/>
      <c r="M200" s="65"/>
      <c r="N200" s="65"/>
      <c r="O200" s="65"/>
      <c r="P200" s="65"/>
      <c r="Q200" s="65"/>
      <c r="R200" s="65"/>
      <c r="S200" s="68"/>
      <c r="T200" s="68"/>
      <c r="U200" s="65"/>
      <c r="V200" s="92"/>
      <c r="W200" s="92"/>
      <c r="X200" s="71"/>
      <c r="Y200" s="72"/>
      <c r="Z200" s="72"/>
      <c r="AA200" s="72"/>
      <c r="AB200" s="72"/>
      <c r="AC200" s="72"/>
      <c r="AD200" s="72"/>
      <c r="AE200" s="68"/>
      <c r="AF200" s="73"/>
      <c r="AG200" s="73"/>
      <c r="AH200" s="73"/>
      <c r="AI200" s="73"/>
      <c r="AJ200" s="73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129"/>
      <c r="CA200" s="129"/>
      <c r="CB200" s="129"/>
      <c r="CC200" s="129"/>
      <c r="CD200" s="129"/>
      <c r="CE200" s="129"/>
      <c r="CF200" s="129"/>
      <c r="CG200" s="37"/>
      <c r="CH200" s="42"/>
      <c r="CI200" s="43"/>
      <c r="CJ200" s="37"/>
      <c r="CK200" s="37"/>
      <c r="CL200" s="37"/>
      <c r="CM200" s="37"/>
      <c r="CN200" s="37"/>
      <c r="CO200" s="37"/>
      <c r="CP200" s="37"/>
      <c r="CQ200" s="37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44"/>
    </row>
    <row r="201" spans="1:114" ht="12.75" hidden="1" outlineLevel="1">
      <c r="A201" s="4"/>
      <c r="B201" s="63"/>
      <c r="C201" s="52"/>
      <c r="D201" s="52"/>
      <c r="E201" s="61"/>
      <c r="F201" s="61"/>
      <c r="G201" s="52"/>
      <c r="H201" s="63"/>
      <c r="I201" s="63"/>
      <c r="J201" s="65"/>
      <c r="K201" s="65"/>
      <c r="L201" s="65"/>
      <c r="M201" s="65"/>
      <c r="N201" s="65"/>
      <c r="O201" s="65"/>
      <c r="P201" s="65"/>
      <c r="Q201" s="65"/>
      <c r="R201" s="65"/>
      <c r="S201" s="68"/>
      <c r="T201" s="68"/>
      <c r="U201" s="65"/>
      <c r="V201" s="92"/>
      <c r="W201" s="92"/>
      <c r="X201" s="71"/>
      <c r="Y201" s="72"/>
      <c r="Z201" s="72"/>
      <c r="AA201" s="72"/>
      <c r="AB201" s="72"/>
      <c r="AC201" s="72"/>
      <c r="AD201" s="72"/>
      <c r="AE201" s="68"/>
      <c r="AF201" s="73"/>
      <c r="AG201" s="73"/>
      <c r="AH201" s="73"/>
      <c r="AI201" s="73"/>
      <c r="AJ201" s="73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129"/>
      <c r="CA201" s="129"/>
      <c r="CB201" s="129"/>
      <c r="CC201" s="129"/>
      <c r="CD201" s="129"/>
      <c r="CE201" s="129"/>
      <c r="CF201" s="129"/>
      <c r="CG201" s="37"/>
      <c r="CH201" s="42"/>
      <c r="CI201" s="43"/>
      <c r="CJ201" s="37"/>
      <c r="CK201" s="37"/>
      <c r="CL201" s="37"/>
      <c r="CM201" s="37"/>
      <c r="CN201" s="37"/>
      <c r="CO201" s="37"/>
      <c r="CP201" s="37"/>
      <c r="CQ201" s="37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44"/>
    </row>
    <row r="202" spans="1:114" ht="12.75" hidden="1" outlineLevel="1">
      <c r="A202" s="4"/>
      <c r="B202" s="63"/>
      <c r="C202" s="52"/>
      <c r="D202" s="52"/>
      <c r="E202" s="61"/>
      <c r="F202" s="61"/>
      <c r="G202" s="52"/>
      <c r="H202" s="63"/>
      <c r="I202" s="63"/>
      <c r="J202" s="65"/>
      <c r="K202" s="65"/>
      <c r="L202" s="65"/>
      <c r="M202" s="65"/>
      <c r="N202" s="65"/>
      <c r="O202" s="65"/>
      <c r="P202" s="65"/>
      <c r="Q202" s="65"/>
      <c r="R202" s="65"/>
      <c r="S202" s="68"/>
      <c r="T202" s="68"/>
      <c r="U202" s="65"/>
      <c r="V202" s="92"/>
      <c r="W202" s="92"/>
      <c r="X202" s="71"/>
      <c r="Y202" s="72"/>
      <c r="Z202" s="72"/>
      <c r="AA202" s="72"/>
      <c r="AB202" s="72"/>
      <c r="AC202" s="72"/>
      <c r="AD202" s="72"/>
      <c r="AE202" s="68"/>
      <c r="AF202" s="73"/>
      <c r="AG202" s="73"/>
      <c r="AH202" s="73"/>
      <c r="AI202" s="73"/>
      <c r="AJ202" s="73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129"/>
      <c r="CA202" s="129"/>
      <c r="CB202" s="129"/>
      <c r="CC202" s="129"/>
      <c r="CD202" s="129"/>
      <c r="CE202" s="129"/>
      <c r="CF202" s="129"/>
      <c r="CG202" s="37"/>
      <c r="CH202" s="42"/>
      <c r="CI202" s="43"/>
      <c r="CJ202" s="37"/>
      <c r="CK202" s="37"/>
      <c r="CL202" s="37"/>
      <c r="CM202" s="37"/>
      <c r="CN202" s="37"/>
      <c r="CO202" s="37"/>
      <c r="CP202" s="37"/>
      <c r="CQ202" s="37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44"/>
    </row>
    <row r="203" spans="1:114" ht="12.75" hidden="1" outlineLevel="1">
      <c r="A203" s="4"/>
      <c r="B203" s="63"/>
      <c r="C203" s="52"/>
      <c r="D203" s="52"/>
      <c r="E203" s="61"/>
      <c r="F203" s="61"/>
      <c r="G203" s="52"/>
      <c r="H203" s="63"/>
      <c r="I203" s="63"/>
      <c r="J203" s="65"/>
      <c r="K203" s="65"/>
      <c r="L203" s="65"/>
      <c r="M203" s="65"/>
      <c r="N203" s="65"/>
      <c r="O203" s="65"/>
      <c r="P203" s="65"/>
      <c r="Q203" s="65"/>
      <c r="R203" s="65"/>
      <c r="S203" s="68"/>
      <c r="T203" s="68"/>
      <c r="U203" s="65"/>
      <c r="V203" s="92"/>
      <c r="W203" s="92"/>
      <c r="X203" s="71"/>
      <c r="Y203" s="72"/>
      <c r="Z203" s="72"/>
      <c r="AA203" s="72"/>
      <c r="AB203" s="72"/>
      <c r="AC203" s="72"/>
      <c r="AD203" s="72"/>
      <c r="AE203" s="68"/>
      <c r="AF203" s="73"/>
      <c r="AG203" s="73"/>
      <c r="AH203" s="73"/>
      <c r="AI203" s="73"/>
      <c r="AJ203" s="73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129"/>
      <c r="CA203" s="129"/>
      <c r="CB203" s="129"/>
      <c r="CC203" s="129"/>
      <c r="CD203" s="129"/>
      <c r="CE203" s="129"/>
      <c r="CF203" s="129"/>
      <c r="CG203" s="37"/>
      <c r="CH203" s="42"/>
      <c r="CI203" s="43"/>
      <c r="CJ203" s="37"/>
      <c r="CK203" s="37"/>
      <c r="CL203" s="37"/>
      <c r="CM203" s="37"/>
      <c r="CN203" s="37"/>
      <c r="CO203" s="37"/>
      <c r="CP203" s="37"/>
      <c r="CQ203" s="37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44"/>
    </row>
    <row r="204" spans="1:114" ht="12.75" hidden="1" outlineLevel="1">
      <c r="A204" s="4"/>
      <c r="B204" s="63"/>
      <c r="C204" s="52"/>
      <c r="D204" s="52"/>
      <c r="E204" s="61"/>
      <c r="F204" s="61"/>
      <c r="G204" s="52"/>
      <c r="H204" s="63"/>
      <c r="I204" s="63"/>
      <c r="J204" s="65"/>
      <c r="K204" s="65"/>
      <c r="L204" s="65"/>
      <c r="M204" s="65"/>
      <c r="N204" s="65"/>
      <c r="O204" s="65"/>
      <c r="P204" s="65"/>
      <c r="Q204" s="65"/>
      <c r="R204" s="65"/>
      <c r="S204" s="68"/>
      <c r="T204" s="68"/>
      <c r="U204" s="65"/>
      <c r="V204" s="92"/>
      <c r="W204" s="92"/>
      <c r="X204" s="71"/>
      <c r="Y204" s="72"/>
      <c r="Z204" s="72"/>
      <c r="AA204" s="72"/>
      <c r="AB204" s="72"/>
      <c r="AC204" s="72"/>
      <c r="AD204" s="72"/>
      <c r="AE204" s="68"/>
      <c r="AF204" s="73"/>
      <c r="AG204" s="73"/>
      <c r="AH204" s="73"/>
      <c r="AI204" s="73"/>
      <c r="AJ204" s="73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129"/>
      <c r="CA204" s="129"/>
      <c r="CB204" s="129"/>
      <c r="CC204" s="129"/>
      <c r="CD204" s="129"/>
      <c r="CE204" s="129"/>
      <c r="CF204" s="129"/>
      <c r="CG204" s="37"/>
      <c r="CH204" s="42"/>
      <c r="CI204" s="43"/>
      <c r="CJ204" s="37"/>
      <c r="CK204" s="37"/>
      <c r="CL204" s="37"/>
      <c r="CM204" s="37"/>
      <c r="CN204" s="37"/>
      <c r="CO204" s="37"/>
      <c r="CP204" s="37"/>
      <c r="CQ204" s="37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44"/>
    </row>
    <row r="205" spans="1:114" ht="12.75" hidden="1" outlineLevel="1">
      <c r="A205" s="4"/>
      <c r="B205" s="63"/>
      <c r="C205" s="52"/>
      <c r="D205" s="52"/>
      <c r="E205" s="61"/>
      <c r="F205" s="61"/>
      <c r="G205" s="52"/>
      <c r="H205" s="63"/>
      <c r="I205" s="63"/>
      <c r="J205" s="65"/>
      <c r="K205" s="65"/>
      <c r="L205" s="65"/>
      <c r="M205" s="65"/>
      <c r="N205" s="65"/>
      <c r="O205" s="65"/>
      <c r="P205" s="65"/>
      <c r="Q205" s="65"/>
      <c r="R205" s="65"/>
      <c r="S205" s="68"/>
      <c r="T205" s="68"/>
      <c r="U205" s="65"/>
      <c r="V205" s="92"/>
      <c r="W205" s="92"/>
      <c r="X205" s="71"/>
      <c r="Y205" s="72"/>
      <c r="Z205" s="72"/>
      <c r="AA205" s="72"/>
      <c r="AB205" s="72"/>
      <c r="AC205" s="72"/>
      <c r="AD205" s="72"/>
      <c r="AE205" s="68"/>
      <c r="AF205" s="73"/>
      <c r="AG205" s="73"/>
      <c r="AH205" s="73"/>
      <c r="AI205" s="73"/>
      <c r="AJ205" s="73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129"/>
      <c r="CA205" s="129"/>
      <c r="CB205" s="129"/>
      <c r="CC205" s="129"/>
      <c r="CD205" s="129"/>
      <c r="CE205" s="129"/>
      <c r="CF205" s="129"/>
      <c r="CG205" s="37"/>
      <c r="CH205" s="42"/>
      <c r="CI205" s="43"/>
      <c r="CJ205" s="37"/>
      <c r="CK205" s="37"/>
      <c r="CL205" s="37"/>
      <c r="CM205" s="37"/>
      <c r="CN205" s="37"/>
      <c r="CO205" s="37"/>
      <c r="CP205" s="37"/>
      <c r="CQ205" s="37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44"/>
    </row>
    <row r="206" spans="1:114" ht="12.75" hidden="1" outlineLevel="1">
      <c r="A206" s="4"/>
      <c r="B206" s="63"/>
      <c r="C206" s="52"/>
      <c r="D206" s="52"/>
      <c r="E206" s="61"/>
      <c r="F206" s="61"/>
      <c r="G206" s="52"/>
      <c r="H206" s="63"/>
      <c r="I206" s="63"/>
      <c r="J206" s="65"/>
      <c r="K206" s="65"/>
      <c r="L206" s="65"/>
      <c r="M206" s="65"/>
      <c r="N206" s="65"/>
      <c r="O206" s="65"/>
      <c r="P206" s="65"/>
      <c r="Q206" s="65"/>
      <c r="R206" s="65"/>
      <c r="S206" s="68"/>
      <c r="T206" s="68"/>
      <c r="U206" s="65"/>
      <c r="V206" s="92"/>
      <c r="W206" s="92"/>
      <c r="X206" s="71"/>
      <c r="Y206" s="72"/>
      <c r="Z206" s="72"/>
      <c r="AA206" s="72"/>
      <c r="AB206" s="72"/>
      <c r="AC206" s="72"/>
      <c r="AD206" s="72"/>
      <c r="AE206" s="68"/>
      <c r="AF206" s="73"/>
      <c r="AG206" s="73"/>
      <c r="AH206" s="73"/>
      <c r="AI206" s="73"/>
      <c r="AJ206" s="73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129"/>
      <c r="CA206" s="129"/>
      <c r="CB206" s="129"/>
      <c r="CC206" s="129"/>
      <c r="CD206" s="129"/>
      <c r="CE206" s="129"/>
      <c r="CF206" s="129"/>
      <c r="CG206" s="37"/>
      <c r="CH206" s="42"/>
      <c r="CI206" s="43"/>
      <c r="CJ206" s="37"/>
      <c r="CK206" s="37"/>
      <c r="CL206" s="37"/>
      <c r="CM206" s="37"/>
      <c r="CN206" s="37"/>
      <c r="CO206" s="37"/>
      <c r="CP206" s="37"/>
      <c r="CQ206" s="37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44"/>
    </row>
    <row r="207" spans="1:114" ht="12.75" hidden="1" outlineLevel="1">
      <c r="A207" s="4"/>
      <c r="B207" s="63"/>
      <c r="C207" s="52"/>
      <c r="D207" s="52"/>
      <c r="E207" s="61"/>
      <c r="F207" s="61"/>
      <c r="G207" s="52"/>
      <c r="H207" s="63"/>
      <c r="I207" s="63"/>
      <c r="J207" s="65"/>
      <c r="K207" s="65"/>
      <c r="L207" s="65"/>
      <c r="M207" s="65"/>
      <c r="N207" s="65"/>
      <c r="O207" s="65"/>
      <c r="P207" s="65"/>
      <c r="Q207" s="65"/>
      <c r="R207" s="65"/>
      <c r="S207" s="68"/>
      <c r="T207" s="68"/>
      <c r="U207" s="65"/>
      <c r="V207" s="92"/>
      <c r="W207" s="92"/>
      <c r="X207" s="71"/>
      <c r="Y207" s="72"/>
      <c r="Z207" s="72"/>
      <c r="AA207" s="72"/>
      <c r="AB207" s="72"/>
      <c r="AC207" s="72"/>
      <c r="AD207" s="72"/>
      <c r="AE207" s="68"/>
      <c r="AF207" s="73"/>
      <c r="AG207" s="73"/>
      <c r="AH207" s="73"/>
      <c r="AI207" s="73"/>
      <c r="AJ207" s="73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129"/>
      <c r="CA207" s="129"/>
      <c r="CB207" s="129"/>
      <c r="CC207" s="129"/>
      <c r="CD207" s="129"/>
      <c r="CE207" s="129"/>
      <c r="CF207" s="129"/>
      <c r="CG207" s="37"/>
      <c r="CH207" s="42"/>
      <c r="CI207" s="43"/>
      <c r="CJ207" s="37"/>
      <c r="CK207" s="37"/>
      <c r="CL207" s="37"/>
      <c r="CM207" s="37"/>
      <c r="CN207" s="37"/>
      <c r="CO207" s="37"/>
      <c r="CP207" s="37"/>
      <c r="CQ207" s="37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44"/>
    </row>
    <row r="208" spans="1:114" ht="12.75" hidden="1" outlineLevel="1">
      <c r="A208" s="4"/>
      <c r="B208" s="63"/>
      <c r="C208" s="52"/>
      <c r="D208" s="52"/>
      <c r="E208" s="61"/>
      <c r="F208" s="61"/>
      <c r="G208" s="52"/>
      <c r="H208" s="63"/>
      <c r="I208" s="63"/>
      <c r="J208" s="65"/>
      <c r="K208" s="65"/>
      <c r="L208" s="65"/>
      <c r="M208" s="65"/>
      <c r="N208" s="65"/>
      <c r="O208" s="65"/>
      <c r="P208" s="65"/>
      <c r="Q208" s="65"/>
      <c r="R208" s="65"/>
      <c r="S208" s="68"/>
      <c r="T208" s="68"/>
      <c r="U208" s="65"/>
      <c r="V208" s="92"/>
      <c r="W208" s="92"/>
      <c r="X208" s="71"/>
      <c r="Y208" s="72"/>
      <c r="Z208" s="72"/>
      <c r="AA208" s="72"/>
      <c r="AB208" s="72"/>
      <c r="AC208" s="72"/>
      <c r="AD208" s="72"/>
      <c r="AE208" s="68"/>
      <c r="AF208" s="73"/>
      <c r="AG208" s="73"/>
      <c r="AH208" s="73"/>
      <c r="AI208" s="73"/>
      <c r="AJ208" s="73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129"/>
      <c r="CA208" s="129"/>
      <c r="CB208" s="129"/>
      <c r="CC208" s="129"/>
      <c r="CD208" s="129"/>
      <c r="CE208" s="129"/>
      <c r="CF208" s="129"/>
      <c r="CG208" s="37"/>
      <c r="CH208" s="42"/>
      <c r="CI208" s="43"/>
      <c r="CJ208" s="37"/>
      <c r="CK208" s="37"/>
      <c r="CL208" s="37"/>
      <c r="CM208" s="37"/>
      <c r="CN208" s="37"/>
      <c r="CO208" s="37"/>
      <c r="CP208" s="37"/>
      <c r="CQ208" s="37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44"/>
    </row>
    <row r="209" spans="1:114" ht="12.75" hidden="1" outlineLevel="1">
      <c r="A209" s="4"/>
      <c r="B209" s="63"/>
      <c r="C209" s="52"/>
      <c r="D209" s="52"/>
      <c r="E209" s="61"/>
      <c r="F209" s="61"/>
      <c r="G209" s="52"/>
      <c r="H209" s="63"/>
      <c r="I209" s="63"/>
      <c r="J209" s="65"/>
      <c r="K209" s="65"/>
      <c r="L209" s="65"/>
      <c r="M209" s="65"/>
      <c r="N209" s="65"/>
      <c r="O209" s="65"/>
      <c r="P209" s="65"/>
      <c r="Q209" s="65"/>
      <c r="R209" s="65"/>
      <c r="S209" s="68"/>
      <c r="T209" s="68"/>
      <c r="U209" s="65"/>
      <c r="V209" s="92"/>
      <c r="W209" s="92"/>
      <c r="X209" s="71"/>
      <c r="Y209" s="72"/>
      <c r="Z209" s="72"/>
      <c r="AA209" s="72"/>
      <c r="AB209" s="72"/>
      <c r="AC209" s="72"/>
      <c r="AD209" s="72"/>
      <c r="AE209" s="68"/>
      <c r="AF209" s="73"/>
      <c r="AG209" s="73"/>
      <c r="AH209" s="73"/>
      <c r="AI209" s="73"/>
      <c r="AJ209" s="73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129"/>
      <c r="CA209" s="129"/>
      <c r="CB209" s="129"/>
      <c r="CC209" s="129"/>
      <c r="CD209" s="129"/>
      <c r="CE209" s="129"/>
      <c r="CF209" s="129"/>
      <c r="CG209" s="37"/>
      <c r="CH209" s="42"/>
      <c r="CI209" s="43"/>
      <c r="CJ209" s="37"/>
      <c r="CK209" s="37"/>
      <c r="CL209" s="37"/>
      <c r="CM209" s="37"/>
      <c r="CN209" s="37"/>
      <c r="CO209" s="37"/>
      <c r="CP209" s="37"/>
      <c r="CQ209" s="37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44"/>
    </row>
    <row r="210" spans="1:114" ht="12.75" hidden="1" outlineLevel="1">
      <c r="A210" s="4"/>
      <c r="B210" s="63"/>
      <c r="C210" s="52"/>
      <c r="D210" s="52"/>
      <c r="E210" s="61"/>
      <c r="F210" s="61"/>
      <c r="G210" s="52"/>
      <c r="H210" s="63"/>
      <c r="I210" s="63"/>
      <c r="J210" s="65"/>
      <c r="K210" s="65"/>
      <c r="L210" s="65"/>
      <c r="M210" s="65"/>
      <c r="N210" s="65"/>
      <c r="O210" s="65"/>
      <c r="P210" s="65"/>
      <c r="Q210" s="65"/>
      <c r="R210" s="65"/>
      <c r="S210" s="68"/>
      <c r="T210" s="68"/>
      <c r="U210" s="65"/>
      <c r="V210" s="92"/>
      <c r="W210" s="92"/>
      <c r="X210" s="71"/>
      <c r="Y210" s="72"/>
      <c r="Z210" s="72"/>
      <c r="AA210" s="72"/>
      <c r="AB210" s="72"/>
      <c r="AC210" s="72"/>
      <c r="AD210" s="72"/>
      <c r="AE210" s="68"/>
      <c r="AF210" s="73"/>
      <c r="AG210" s="73"/>
      <c r="AH210" s="73"/>
      <c r="AI210" s="73"/>
      <c r="AJ210" s="73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129"/>
      <c r="CA210" s="129"/>
      <c r="CB210" s="129"/>
      <c r="CC210" s="129"/>
      <c r="CD210" s="129"/>
      <c r="CE210" s="129"/>
      <c r="CF210" s="129"/>
      <c r="CG210" s="37"/>
      <c r="CH210" s="42"/>
      <c r="CI210" s="43"/>
      <c r="CJ210" s="37"/>
      <c r="CK210" s="37"/>
      <c r="CL210" s="37"/>
      <c r="CM210" s="37"/>
      <c r="CN210" s="37"/>
      <c r="CO210" s="37"/>
      <c r="CP210" s="37"/>
      <c r="CQ210" s="37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44"/>
    </row>
    <row r="211" spans="1:114" ht="12.75" hidden="1" outlineLevel="1">
      <c r="A211" s="4"/>
      <c r="B211" s="63"/>
      <c r="C211" s="52"/>
      <c r="D211" s="52"/>
      <c r="E211" s="61"/>
      <c r="F211" s="61"/>
      <c r="G211" s="52"/>
      <c r="H211" s="63"/>
      <c r="I211" s="63"/>
      <c r="J211" s="65"/>
      <c r="K211" s="65"/>
      <c r="L211" s="65"/>
      <c r="M211" s="65"/>
      <c r="N211" s="65"/>
      <c r="O211" s="65"/>
      <c r="P211" s="65"/>
      <c r="Q211" s="65"/>
      <c r="R211" s="65"/>
      <c r="S211" s="68"/>
      <c r="T211" s="68"/>
      <c r="U211" s="65"/>
      <c r="V211" s="92"/>
      <c r="W211" s="92"/>
      <c r="X211" s="71"/>
      <c r="Y211" s="72"/>
      <c r="Z211" s="72"/>
      <c r="AA211" s="72"/>
      <c r="AB211" s="72"/>
      <c r="AC211" s="72"/>
      <c r="AD211" s="72"/>
      <c r="AE211" s="68"/>
      <c r="AF211" s="73"/>
      <c r="AG211" s="73"/>
      <c r="AH211" s="73"/>
      <c r="AI211" s="73"/>
      <c r="AJ211" s="73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129"/>
      <c r="CA211" s="129"/>
      <c r="CB211" s="129"/>
      <c r="CC211" s="129"/>
      <c r="CD211" s="129"/>
      <c r="CE211" s="129"/>
      <c r="CF211" s="129"/>
      <c r="CG211" s="37"/>
      <c r="CH211" s="42"/>
      <c r="CI211" s="43"/>
      <c r="CJ211" s="37"/>
      <c r="CK211" s="37"/>
      <c r="CL211" s="37"/>
      <c r="CM211" s="37"/>
      <c r="CN211" s="37"/>
      <c r="CO211" s="37"/>
      <c r="CP211" s="37"/>
      <c r="CQ211" s="37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44"/>
    </row>
    <row r="212" spans="1:114" ht="12.75" hidden="1" outlineLevel="1">
      <c r="A212" s="4"/>
      <c r="B212" s="63"/>
      <c r="C212" s="52"/>
      <c r="D212" s="52"/>
      <c r="E212" s="61"/>
      <c r="F212" s="61"/>
      <c r="G212" s="52"/>
      <c r="H212" s="63"/>
      <c r="I212" s="63"/>
      <c r="J212" s="65"/>
      <c r="K212" s="65"/>
      <c r="L212" s="65"/>
      <c r="M212" s="65"/>
      <c r="N212" s="65"/>
      <c r="O212" s="65"/>
      <c r="P212" s="65"/>
      <c r="Q212" s="65"/>
      <c r="R212" s="65"/>
      <c r="S212" s="68"/>
      <c r="T212" s="68"/>
      <c r="U212" s="65"/>
      <c r="V212" s="92"/>
      <c r="W212" s="92"/>
      <c r="X212" s="71"/>
      <c r="Y212" s="72"/>
      <c r="Z212" s="72"/>
      <c r="AA212" s="72"/>
      <c r="AB212" s="72"/>
      <c r="AC212" s="72"/>
      <c r="AD212" s="72"/>
      <c r="AE212" s="68"/>
      <c r="AF212" s="73"/>
      <c r="AG212" s="73"/>
      <c r="AH212" s="73"/>
      <c r="AI212" s="73"/>
      <c r="AJ212" s="73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129"/>
      <c r="CA212" s="129"/>
      <c r="CB212" s="129"/>
      <c r="CC212" s="129"/>
      <c r="CD212" s="129"/>
      <c r="CE212" s="129"/>
      <c r="CF212" s="129"/>
      <c r="CG212" s="37"/>
      <c r="CH212" s="42"/>
      <c r="CI212" s="43"/>
      <c r="CJ212" s="37"/>
      <c r="CK212" s="37"/>
      <c r="CL212" s="37"/>
      <c r="CM212" s="37"/>
      <c r="CN212" s="37"/>
      <c r="CO212" s="37"/>
      <c r="CP212" s="37"/>
      <c r="CQ212" s="37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44"/>
    </row>
    <row r="213" spans="1:114" ht="12.75" hidden="1" outlineLevel="1">
      <c r="A213" s="4"/>
      <c r="B213" s="63"/>
      <c r="C213" s="52"/>
      <c r="D213" s="52"/>
      <c r="E213" s="61"/>
      <c r="F213" s="61"/>
      <c r="G213" s="52"/>
      <c r="H213" s="63"/>
      <c r="I213" s="63"/>
      <c r="J213" s="65"/>
      <c r="K213" s="65"/>
      <c r="L213" s="65"/>
      <c r="M213" s="65"/>
      <c r="N213" s="65"/>
      <c r="O213" s="65"/>
      <c r="P213" s="65"/>
      <c r="Q213" s="65"/>
      <c r="R213" s="65"/>
      <c r="S213" s="68"/>
      <c r="T213" s="68"/>
      <c r="U213" s="65"/>
      <c r="V213" s="92"/>
      <c r="W213" s="92"/>
      <c r="X213" s="71"/>
      <c r="Y213" s="72"/>
      <c r="Z213" s="72"/>
      <c r="AA213" s="72"/>
      <c r="AB213" s="72"/>
      <c r="AC213" s="72"/>
      <c r="AD213" s="72"/>
      <c r="AE213" s="68"/>
      <c r="AF213" s="73"/>
      <c r="AG213" s="73"/>
      <c r="AH213" s="73"/>
      <c r="AI213" s="73"/>
      <c r="AJ213" s="73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129"/>
      <c r="CA213" s="129"/>
      <c r="CB213" s="129"/>
      <c r="CC213" s="129"/>
      <c r="CD213" s="129"/>
      <c r="CE213" s="129"/>
      <c r="CF213" s="129"/>
      <c r="CG213" s="37"/>
      <c r="CH213" s="42"/>
      <c r="CI213" s="43"/>
      <c r="CJ213" s="37"/>
      <c r="CK213" s="37"/>
      <c r="CL213" s="37"/>
      <c r="CM213" s="37"/>
      <c r="CN213" s="37"/>
      <c r="CO213" s="37"/>
      <c r="CP213" s="37"/>
      <c r="CQ213" s="37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44"/>
    </row>
    <row r="214" spans="1:114" ht="12.75" hidden="1" outlineLevel="1">
      <c r="A214" s="4"/>
      <c r="B214" s="63"/>
      <c r="C214" s="52"/>
      <c r="D214" s="52"/>
      <c r="E214" s="61"/>
      <c r="F214" s="61"/>
      <c r="G214" s="52"/>
      <c r="H214" s="63"/>
      <c r="I214" s="63"/>
      <c r="J214" s="65"/>
      <c r="K214" s="65"/>
      <c r="L214" s="65"/>
      <c r="M214" s="65"/>
      <c r="N214" s="65"/>
      <c r="O214" s="65"/>
      <c r="P214" s="65"/>
      <c r="Q214" s="65"/>
      <c r="R214" s="65"/>
      <c r="S214" s="68"/>
      <c r="T214" s="68"/>
      <c r="U214" s="65"/>
      <c r="V214" s="92"/>
      <c r="W214" s="92"/>
      <c r="X214" s="71"/>
      <c r="Y214" s="72"/>
      <c r="Z214" s="72"/>
      <c r="AA214" s="72"/>
      <c r="AB214" s="72"/>
      <c r="AC214" s="72"/>
      <c r="AD214" s="72"/>
      <c r="AE214" s="68"/>
      <c r="AF214" s="73"/>
      <c r="AG214" s="73"/>
      <c r="AH214" s="73"/>
      <c r="AI214" s="73"/>
      <c r="AJ214" s="73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129"/>
      <c r="CA214" s="129"/>
      <c r="CB214" s="129"/>
      <c r="CC214" s="129"/>
      <c r="CD214" s="129"/>
      <c r="CE214" s="129"/>
      <c r="CF214" s="129"/>
      <c r="CG214" s="37"/>
      <c r="CH214" s="42"/>
      <c r="CI214" s="43"/>
      <c r="CJ214" s="37"/>
      <c r="CK214" s="37"/>
      <c r="CL214" s="37"/>
      <c r="CM214" s="37"/>
      <c r="CN214" s="37"/>
      <c r="CO214" s="37"/>
      <c r="CP214" s="37"/>
      <c r="CQ214" s="37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44"/>
    </row>
    <row r="215" spans="1:114" ht="12.75" hidden="1" outlineLevel="1">
      <c r="A215" s="4"/>
      <c r="B215" s="63"/>
      <c r="C215" s="52"/>
      <c r="D215" s="52"/>
      <c r="E215" s="61"/>
      <c r="F215" s="61"/>
      <c r="G215" s="52"/>
      <c r="H215" s="63"/>
      <c r="I215" s="63"/>
      <c r="J215" s="65"/>
      <c r="K215" s="65"/>
      <c r="L215" s="65"/>
      <c r="M215" s="65"/>
      <c r="N215" s="65"/>
      <c r="O215" s="65"/>
      <c r="P215" s="65"/>
      <c r="Q215" s="65"/>
      <c r="R215" s="65"/>
      <c r="S215" s="68"/>
      <c r="T215" s="68"/>
      <c r="U215" s="65"/>
      <c r="V215" s="92"/>
      <c r="W215" s="92"/>
      <c r="X215" s="71"/>
      <c r="Y215" s="72"/>
      <c r="Z215" s="72"/>
      <c r="AA215" s="72"/>
      <c r="AB215" s="72"/>
      <c r="AC215" s="72"/>
      <c r="AD215" s="72"/>
      <c r="AE215" s="68"/>
      <c r="AF215" s="73"/>
      <c r="AG215" s="73"/>
      <c r="AH215" s="73"/>
      <c r="AI215" s="73"/>
      <c r="AJ215" s="73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129"/>
      <c r="CA215" s="129"/>
      <c r="CB215" s="129"/>
      <c r="CC215" s="129"/>
      <c r="CD215" s="129"/>
      <c r="CE215" s="129"/>
      <c r="CF215" s="129"/>
      <c r="CG215" s="37"/>
      <c r="CH215" s="42"/>
      <c r="CI215" s="43"/>
      <c r="CJ215" s="37"/>
      <c r="CK215" s="37"/>
      <c r="CL215" s="37"/>
      <c r="CM215" s="37"/>
      <c r="CN215" s="37"/>
      <c r="CO215" s="37"/>
      <c r="CP215" s="37"/>
      <c r="CQ215" s="37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44"/>
    </row>
    <row r="216" spans="1:114" ht="12.75" hidden="1" outlineLevel="1">
      <c r="A216" s="4"/>
      <c r="B216" s="63"/>
      <c r="C216" s="52"/>
      <c r="D216" s="52"/>
      <c r="E216" s="61"/>
      <c r="F216" s="61"/>
      <c r="G216" s="52"/>
      <c r="H216" s="63"/>
      <c r="I216" s="63"/>
      <c r="J216" s="65"/>
      <c r="K216" s="65"/>
      <c r="L216" s="65"/>
      <c r="M216" s="65"/>
      <c r="N216" s="65"/>
      <c r="O216" s="65"/>
      <c r="P216" s="65"/>
      <c r="Q216" s="65"/>
      <c r="R216" s="65"/>
      <c r="S216" s="68"/>
      <c r="T216" s="68"/>
      <c r="U216" s="65"/>
      <c r="V216" s="92"/>
      <c r="W216" s="92"/>
      <c r="X216" s="71"/>
      <c r="Y216" s="72"/>
      <c r="Z216" s="72"/>
      <c r="AA216" s="72"/>
      <c r="AB216" s="72"/>
      <c r="AC216" s="72"/>
      <c r="AD216" s="72"/>
      <c r="AE216" s="68"/>
      <c r="AF216" s="73"/>
      <c r="AG216" s="73"/>
      <c r="AH216" s="73"/>
      <c r="AI216" s="73"/>
      <c r="AJ216" s="73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129"/>
      <c r="CA216" s="129"/>
      <c r="CB216" s="129"/>
      <c r="CC216" s="129"/>
      <c r="CD216" s="129"/>
      <c r="CE216" s="129"/>
      <c r="CF216" s="129"/>
      <c r="CG216" s="37"/>
      <c r="CH216" s="42"/>
      <c r="CI216" s="43"/>
      <c r="CJ216" s="37"/>
      <c r="CK216" s="37"/>
      <c r="CL216" s="37"/>
      <c r="CM216" s="37"/>
      <c r="CN216" s="37"/>
      <c r="CO216" s="37"/>
      <c r="CP216" s="37"/>
      <c r="CQ216" s="37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44"/>
    </row>
    <row r="217" spans="1:114" ht="12.75" hidden="1" outlineLevel="1">
      <c r="A217" s="4"/>
      <c r="B217" s="63"/>
      <c r="C217" s="52"/>
      <c r="D217" s="52"/>
      <c r="E217" s="61"/>
      <c r="F217" s="61"/>
      <c r="G217" s="52"/>
      <c r="H217" s="63"/>
      <c r="I217" s="63"/>
      <c r="J217" s="65"/>
      <c r="K217" s="65"/>
      <c r="L217" s="65"/>
      <c r="M217" s="65"/>
      <c r="N217" s="65"/>
      <c r="O217" s="65"/>
      <c r="P217" s="65"/>
      <c r="Q217" s="65"/>
      <c r="R217" s="65"/>
      <c r="S217" s="68"/>
      <c r="T217" s="68"/>
      <c r="U217" s="65"/>
      <c r="V217" s="92"/>
      <c r="W217" s="92"/>
      <c r="X217" s="71"/>
      <c r="Y217" s="72"/>
      <c r="Z217" s="72"/>
      <c r="AA217" s="72"/>
      <c r="AB217" s="72"/>
      <c r="AC217" s="72"/>
      <c r="AD217" s="72"/>
      <c r="AE217" s="68"/>
      <c r="AF217" s="73"/>
      <c r="AG217" s="73"/>
      <c r="AH217" s="73"/>
      <c r="AI217" s="73"/>
      <c r="AJ217" s="73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129"/>
      <c r="CA217" s="129"/>
      <c r="CB217" s="129"/>
      <c r="CC217" s="129"/>
      <c r="CD217" s="129"/>
      <c r="CE217" s="129"/>
      <c r="CF217" s="129"/>
      <c r="CG217" s="37"/>
      <c r="CH217" s="42"/>
      <c r="CI217" s="43"/>
      <c r="CJ217" s="37"/>
      <c r="CK217" s="37"/>
      <c r="CL217" s="37"/>
      <c r="CM217" s="37"/>
      <c r="CN217" s="37"/>
      <c r="CO217" s="37"/>
      <c r="CP217" s="37"/>
      <c r="CQ217" s="37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44"/>
    </row>
    <row r="218" spans="1:114" ht="12.75" hidden="1" outlineLevel="1">
      <c r="A218" s="4"/>
      <c r="B218" s="63"/>
      <c r="C218" s="52"/>
      <c r="D218" s="52"/>
      <c r="E218" s="61"/>
      <c r="F218" s="61"/>
      <c r="G218" s="52"/>
      <c r="H218" s="63"/>
      <c r="I218" s="63"/>
      <c r="J218" s="65"/>
      <c r="K218" s="65"/>
      <c r="L218" s="65"/>
      <c r="M218" s="65"/>
      <c r="N218" s="65"/>
      <c r="O218" s="65"/>
      <c r="P218" s="65"/>
      <c r="Q218" s="65"/>
      <c r="R218" s="65"/>
      <c r="S218" s="68"/>
      <c r="T218" s="68"/>
      <c r="U218" s="65"/>
      <c r="V218" s="92"/>
      <c r="W218" s="92"/>
      <c r="X218" s="71"/>
      <c r="Y218" s="72"/>
      <c r="Z218" s="72"/>
      <c r="AA218" s="72"/>
      <c r="AB218" s="72"/>
      <c r="AC218" s="72"/>
      <c r="AD218" s="72"/>
      <c r="AE218" s="68"/>
      <c r="AF218" s="73"/>
      <c r="AG218" s="73"/>
      <c r="AH218" s="73"/>
      <c r="AI218" s="73"/>
      <c r="AJ218" s="73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129"/>
      <c r="CA218" s="129"/>
      <c r="CB218" s="129"/>
      <c r="CC218" s="129"/>
      <c r="CD218" s="129"/>
      <c r="CE218" s="129"/>
      <c r="CF218" s="129"/>
      <c r="CG218" s="37"/>
      <c r="CH218" s="42"/>
      <c r="CI218" s="43"/>
      <c r="CJ218" s="37"/>
      <c r="CK218" s="37"/>
      <c r="CL218" s="37"/>
      <c r="CM218" s="37"/>
      <c r="CN218" s="37"/>
      <c r="CO218" s="37"/>
      <c r="CP218" s="37"/>
      <c r="CQ218" s="37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44"/>
    </row>
    <row r="219" spans="1:114" ht="12.75" hidden="1" outlineLevel="1">
      <c r="A219" s="4"/>
      <c r="B219" s="63"/>
      <c r="C219" s="52"/>
      <c r="D219" s="52"/>
      <c r="E219" s="61"/>
      <c r="F219" s="61"/>
      <c r="G219" s="52"/>
      <c r="H219" s="63"/>
      <c r="I219" s="63"/>
      <c r="J219" s="65"/>
      <c r="K219" s="65"/>
      <c r="L219" s="65"/>
      <c r="M219" s="65"/>
      <c r="N219" s="65"/>
      <c r="O219" s="65"/>
      <c r="P219" s="65"/>
      <c r="Q219" s="65"/>
      <c r="R219" s="65"/>
      <c r="S219" s="68"/>
      <c r="T219" s="68"/>
      <c r="U219" s="65"/>
      <c r="V219" s="92"/>
      <c r="W219" s="92"/>
      <c r="X219" s="71"/>
      <c r="Y219" s="72"/>
      <c r="Z219" s="72"/>
      <c r="AA219" s="72"/>
      <c r="AB219" s="72"/>
      <c r="AC219" s="72"/>
      <c r="AD219" s="72"/>
      <c r="AE219" s="68"/>
      <c r="AF219" s="73"/>
      <c r="AG219" s="73"/>
      <c r="AH219" s="73"/>
      <c r="AI219" s="73"/>
      <c r="AJ219" s="73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129"/>
      <c r="CA219" s="129"/>
      <c r="CB219" s="129"/>
      <c r="CC219" s="129"/>
      <c r="CD219" s="129"/>
      <c r="CE219" s="129"/>
      <c r="CF219" s="129"/>
      <c r="CG219" s="37"/>
      <c r="CH219" s="42"/>
      <c r="CI219" s="43"/>
      <c r="CJ219" s="37"/>
      <c r="CK219" s="37"/>
      <c r="CL219" s="37"/>
      <c r="CM219" s="37"/>
      <c r="CN219" s="37"/>
      <c r="CO219" s="37"/>
      <c r="CP219" s="37"/>
      <c r="CQ219" s="37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44"/>
    </row>
    <row r="220" spans="1:114" ht="12.75" hidden="1" outlineLevel="1">
      <c r="A220" s="4"/>
      <c r="B220" s="63"/>
      <c r="C220" s="52"/>
      <c r="D220" s="52"/>
      <c r="E220" s="61"/>
      <c r="F220" s="61"/>
      <c r="G220" s="52"/>
      <c r="H220" s="63"/>
      <c r="I220" s="63"/>
      <c r="J220" s="65"/>
      <c r="K220" s="65"/>
      <c r="L220" s="65"/>
      <c r="M220" s="65"/>
      <c r="N220" s="65"/>
      <c r="O220" s="65"/>
      <c r="P220" s="65"/>
      <c r="Q220" s="65"/>
      <c r="R220" s="65"/>
      <c r="S220" s="68"/>
      <c r="T220" s="68"/>
      <c r="U220" s="65"/>
      <c r="V220" s="92"/>
      <c r="W220" s="92"/>
      <c r="X220" s="71"/>
      <c r="Y220" s="72"/>
      <c r="Z220" s="72"/>
      <c r="AA220" s="72"/>
      <c r="AB220" s="72"/>
      <c r="AC220" s="72"/>
      <c r="AD220" s="72"/>
      <c r="AE220" s="68"/>
      <c r="AF220" s="73"/>
      <c r="AG220" s="73"/>
      <c r="AH220" s="73"/>
      <c r="AI220" s="73"/>
      <c r="AJ220" s="73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129"/>
      <c r="CA220" s="129"/>
      <c r="CB220" s="129"/>
      <c r="CC220" s="129"/>
      <c r="CD220" s="129"/>
      <c r="CE220" s="129"/>
      <c r="CF220" s="129"/>
      <c r="CG220" s="37"/>
      <c r="CH220" s="42"/>
      <c r="CI220" s="43"/>
      <c r="CJ220" s="37"/>
      <c r="CK220" s="37"/>
      <c r="CL220" s="37"/>
      <c r="CM220" s="37"/>
      <c r="CN220" s="37"/>
      <c r="CO220" s="37"/>
      <c r="CP220" s="37"/>
      <c r="CQ220" s="37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44"/>
    </row>
    <row r="221" spans="1:114" ht="12.75" hidden="1" outlineLevel="1">
      <c r="A221" s="4"/>
      <c r="B221" s="63"/>
      <c r="C221" s="52"/>
      <c r="D221" s="52"/>
      <c r="E221" s="61"/>
      <c r="F221" s="61"/>
      <c r="G221" s="52"/>
      <c r="H221" s="63"/>
      <c r="I221" s="63"/>
      <c r="J221" s="65"/>
      <c r="K221" s="65"/>
      <c r="L221" s="65"/>
      <c r="M221" s="65"/>
      <c r="N221" s="65"/>
      <c r="O221" s="65"/>
      <c r="P221" s="65"/>
      <c r="Q221" s="65"/>
      <c r="R221" s="65"/>
      <c r="S221" s="68"/>
      <c r="T221" s="68"/>
      <c r="U221" s="65"/>
      <c r="V221" s="92"/>
      <c r="W221" s="92"/>
      <c r="X221" s="71"/>
      <c r="Y221" s="72"/>
      <c r="Z221" s="72"/>
      <c r="AA221" s="72"/>
      <c r="AB221" s="72"/>
      <c r="AC221" s="72"/>
      <c r="AD221" s="72"/>
      <c r="AE221" s="68"/>
      <c r="AF221" s="73"/>
      <c r="AG221" s="73"/>
      <c r="AH221" s="73"/>
      <c r="AI221" s="73"/>
      <c r="AJ221" s="73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129"/>
      <c r="CA221" s="129"/>
      <c r="CB221" s="129"/>
      <c r="CC221" s="129"/>
      <c r="CD221" s="129"/>
      <c r="CE221" s="129"/>
      <c r="CF221" s="129"/>
      <c r="CG221" s="37"/>
      <c r="CH221" s="42"/>
      <c r="CI221" s="43"/>
      <c r="CJ221" s="37"/>
      <c r="CK221" s="37"/>
      <c r="CL221" s="37"/>
      <c r="CM221" s="37"/>
      <c r="CN221" s="37"/>
      <c r="CO221" s="37"/>
      <c r="CP221" s="37"/>
      <c r="CQ221" s="37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44"/>
    </row>
    <row r="222" spans="1:114" ht="12.75" hidden="1" outlineLevel="1">
      <c r="A222" s="4"/>
      <c r="B222" s="63"/>
      <c r="C222" s="52"/>
      <c r="D222" s="52"/>
      <c r="E222" s="61"/>
      <c r="F222" s="61"/>
      <c r="G222" s="52"/>
      <c r="H222" s="63"/>
      <c r="I222" s="63"/>
      <c r="J222" s="65"/>
      <c r="K222" s="65"/>
      <c r="L222" s="65"/>
      <c r="M222" s="65"/>
      <c r="N222" s="65"/>
      <c r="O222" s="65"/>
      <c r="P222" s="65"/>
      <c r="Q222" s="65"/>
      <c r="R222" s="65"/>
      <c r="S222" s="68"/>
      <c r="T222" s="68"/>
      <c r="U222" s="65"/>
      <c r="V222" s="92"/>
      <c r="W222" s="92"/>
      <c r="X222" s="71"/>
      <c r="Y222" s="72"/>
      <c r="Z222" s="72"/>
      <c r="AA222" s="72"/>
      <c r="AB222" s="72"/>
      <c r="AC222" s="72"/>
      <c r="AD222" s="72"/>
      <c r="AE222" s="68"/>
      <c r="AF222" s="73"/>
      <c r="AG222" s="73"/>
      <c r="AH222" s="73"/>
      <c r="AI222" s="73"/>
      <c r="AJ222" s="73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129"/>
      <c r="CA222" s="129"/>
      <c r="CB222" s="129"/>
      <c r="CC222" s="129"/>
      <c r="CD222" s="129"/>
      <c r="CE222" s="129"/>
      <c r="CF222" s="129"/>
      <c r="CG222" s="37"/>
      <c r="CH222" s="42"/>
      <c r="CI222" s="43"/>
      <c r="CJ222" s="37"/>
      <c r="CK222" s="37"/>
      <c r="CL222" s="37"/>
      <c r="CM222" s="37"/>
      <c r="CN222" s="37"/>
      <c r="CO222" s="37"/>
      <c r="CP222" s="37"/>
      <c r="CQ222" s="37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44"/>
    </row>
    <row r="223" spans="1:114" ht="12.75" hidden="1" outlineLevel="1">
      <c r="A223" s="4"/>
      <c r="B223" s="63"/>
      <c r="C223" s="52"/>
      <c r="D223" s="52"/>
      <c r="E223" s="61"/>
      <c r="F223" s="61"/>
      <c r="G223" s="52"/>
      <c r="H223" s="63"/>
      <c r="I223" s="63"/>
      <c r="J223" s="65"/>
      <c r="K223" s="65"/>
      <c r="L223" s="65"/>
      <c r="M223" s="65"/>
      <c r="N223" s="65"/>
      <c r="O223" s="65"/>
      <c r="P223" s="65"/>
      <c r="Q223" s="65"/>
      <c r="R223" s="65"/>
      <c r="S223" s="68"/>
      <c r="T223" s="68"/>
      <c r="U223" s="65"/>
      <c r="V223" s="92"/>
      <c r="W223" s="92"/>
      <c r="X223" s="71"/>
      <c r="Y223" s="72"/>
      <c r="Z223" s="72"/>
      <c r="AA223" s="72"/>
      <c r="AB223" s="72"/>
      <c r="AC223" s="72"/>
      <c r="AD223" s="72"/>
      <c r="AE223" s="68"/>
      <c r="AF223" s="73"/>
      <c r="AG223" s="73"/>
      <c r="AH223" s="73"/>
      <c r="AI223" s="73"/>
      <c r="AJ223" s="73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129"/>
      <c r="CA223" s="129"/>
      <c r="CB223" s="129"/>
      <c r="CC223" s="129"/>
      <c r="CD223" s="129"/>
      <c r="CE223" s="129"/>
      <c r="CF223" s="129"/>
      <c r="CG223" s="37"/>
      <c r="CH223" s="42"/>
      <c r="CI223" s="43"/>
      <c r="CJ223" s="37"/>
      <c r="CK223" s="37"/>
      <c r="CL223" s="37"/>
      <c r="CM223" s="37"/>
      <c r="CN223" s="37"/>
      <c r="CO223" s="37"/>
      <c r="CP223" s="37"/>
      <c r="CQ223" s="37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44"/>
    </row>
    <row r="224" spans="1:114" ht="12.75" hidden="1" outlineLevel="1">
      <c r="A224" s="4"/>
      <c r="B224" s="63"/>
      <c r="C224" s="52"/>
      <c r="D224" s="52"/>
      <c r="E224" s="61"/>
      <c r="F224" s="61"/>
      <c r="G224" s="52"/>
      <c r="H224" s="63"/>
      <c r="I224" s="63"/>
      <c r="J224" s="65"/>
      <c r="K224" s="65"/>
      <c r="L224" s="65"/>
      <c r="M224" s="65"/>
      <c r="N224" s="65"/>
      <c r="O224" s="65"/>
      <c r="P224" s="65"/>
      <c r="Q224" s="65"/>
      <c r="R224" s="65"/>
      <c r="S224" s="68"/>
      <c r="T224" s="68"/>
      <c r="U224" s="65"/>
      <c r="V224" s="92"/>
      <c r="W224" s="92"/>
      <c r="X224" s="71"/>
      <c r="Y224" s="72"/>
      <c r="Z224" s="72"/>
      <c r="AA224" s="72"/>
      <c r="AB224" s="72"/>
      <c r="AC224" s="72"/>
      <c r="AD224" s="72"/>
      <c r="AE224" s="68"/>
      <c r="AF224" s="73"/>
      <c r="AG224" s="73"/>
      <c r="AH224" s="73"/>
      <c r="AI224" s="73"/>
      <c r="AJ224" s="73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129"/>
      <c r="CA224" s="129"/>
      <c r="CB224" s="129"/>
      <c r="CC224" s="129"/>
      <c r="CD224" s="129"/>
      <c r="CE224" s="129"/>
      <c r="CF224" s="129"/>
      <c r="CG224" s="37"/>
      <c r="CH224" s="42"/>
      <c r="CI224" s="43"/>
      <c r="CJ224" s="37"/>
      <c r="CK224" s="37"/>
      <c r="CL224" s="37"/>
      <c r="CM224" s="37"/>
      <c r="CN224" s="37"/>
      <c r="CO224" s="37"/>
      <c r="CP224" s="37"/>
      <c r="CQ224" s="37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44"/>
    </row>
    <row r="225" spans="1:114" ht="12.75" hidden="1" outlineLevel="1">
      <c r="A225" s="4"/>
      <c r="B225" s="63"/>
      <c r="C225" s="52"/>
      <c r="D225" s="52"/>
      <c r="E225" s="61"/>
      <c r="F225" s="61"/>
      <c r="G225" s="52"/>
      <c r="H225" s="63"/>
      <c r="I225" s="63"/>
      <c r="J225" s="65"/>
      <c r="K225" s="65"/>
      <c r="L225" s="65"/>
      <c r="M225" s="65"/>
      <c r="N225" s="65"/>
      <c r="O225" s="65"/>
      <c r="P225" s="65"/>
      <c r="Q225" s="65"/>
      <c r="R225" s="65"/>
      <c r="S225" s="68"/>
      <c r="T225" s="68"/>
      <c r="U225" s="65"/>
      <c r="V225" s="92"/>
      <c r="W225" s="92"/>
      <c r="X225" s="71"/>
      <c r="Y225" s="72"/>
      <c r="Z225" s="72"/>
      <c r="AA225" s="72"/>
      <c r="AB225" s="72"/>
      <c r="AC225" s="72"/>
      <c r="AD225" s="72"/>
      <c r="AE225" s="68"/>
      <c r="AF225" s="73"/>
      <c r="AG225" s="73"/>
      <c r="AH225" s="73"/>
      <c r="AI225" s="73"/>
      <c r="AJ225" s="73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129"/>
      <c r="CA225" s="129"/>
      <c r="CB225" s="129"/>
      <c r="CC225" s="129"/>
      <c r="CD225" s="129"/>
      <c r="CE225" s="129"/>
      <c r="CF225" s="129"/>
      <c r="CG225" s="37"/>
      <c r="CH225" s="42"/>
      <c r="CI225" s="43"/>
      <c r="CJ225" s="37"/>
      <c r="CK225" s="37"/>
      <c r="CL225" s="37"/>
      <c r="CM225" s="37"/>
      <c r="CN225" s="37"/>
      <c r="CO225" s="37"/>
      <c r="CP225" s="37"/>
      <c r="CQ225" s="37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44"/>
    </row>
    <row r="226" spans="1:114" ht="12.75" hidden="1" outlineLevel="1">
      <c r="A226" s="4"/>
      <c r="B226" s="63"/>
      <c r="C226" s="52"/>
      <c r="D226" s="52"/>
      <c r="E226" s="61"/>
      <c r="F226" s="61"/>
      <c r="G226" s="52"/>
      <c r="H226" s="63"/>
      <c r="I226" s="63"/>
      <c r="J226" s="65"/>
      <c r="K226" s="65"/>
      <c r="L226" s="65"/>
      <c r="M226" s="65"/>
      <c r="N226" s="65"/>
      <c r="O226" s="65"/>
      <c r="P226" s="65"/>
      <c r="Q226" s="65"/>
      <c r="R226" s="65"/>
      <c r="S226" s="68"/>
      <c r="T226" s="68"/>
      <c r="U226" s="65"/>
      <c r="V226" s="92"/>
      <c r="W226" s="92"/>
      <c r="X226" s="71"/>
      <c r="Y226" s="72"/>
      <c r="Z226" s="72"/>
      <c r="AA226" s="72"/>
      <c r="AB226" s="72"/>
      <c r="AC226" s="72"/>
      <c r="AD226" s="72"/>
      <c r="AE226" s="68"/>
      <c r="AF226" s="73"/>
      <c r="AG226" s="73"/>
      <c r="AH226" s="73"/>
      <c r="AI226" s="73"/>
      <c r="AJ226" s="73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129"/>
      <c r="CA226" s="129"/>
      <c r="CB226" s="129"/>
      <c r="CC226" s="129"/>
      <c r="CD226" s="129"/>
      <c r="CE226" s="129"/>
      <c r="CF226" s="129"/>
      <c r="CG226" s="37"/>
      <c r="CH226" s="42"/>
      <c r="CI226" s="43"/>
      <c r="CJ226" s="37"/>
      <c r="CK226" s="37"/>
      <c r="CL226" s="37"/>
      <c r="CM226" s="37"/>
      <c r="CN226" s="37"/>
      <c r="CO226" s="37"/>
      <c r="CP226" s="37"/>
      <c r="CQ226" s="37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44"/>
    </row>
    <row r="227" spans="1:114" ht="12.75" hidden="1" outlineLevel="1">
      <c r="A227" s="4"/>
      <c r="B227" s="63"/>
      <c r="C227" s="52"/>
      <c r="D227" s="52"/>
      <c r="E227" s="61"/>
      <c r="F227" s="61"/>
      <c r="G227" s="52"/>
      <c r="H227" s="63"/>
      <c r="I227" s="63"/>
      <c r="J227" s="65"/>
      <c r="K227" s="65"/>
      <c r="L227" s="65"/>
      <c r="M227" s="65"/>
      <c r="N227" s="65"/>
      <c r="O227" s="65"/>
      <c r="P227" s="65"/>
      <c r="Q227" s="65"/>
      <c r="R227" s="65"/>
      <c r="S227" s="68"/>
      <c r="T227" s="68"/>
      <c r="U227" s="65"/>
      <c r="V227" s="92"/>
      <c r="W227" s="92"/>
      <c r="X227" s="71"/>
      <c r="Y227" s="72"/>
      <c r="Z227" s="72"/>
      <c r="AA227" s="72"/>
      <c r="AB227" s="72"/>
      <c r="AC227" s="72"/>
      <c r="AD227" s="72"/>
      <c r="AE227" s="68"/>
      <c r="AF227" s="73"/>
      <c r="AG227" s="73"/>
      <c r="AH227" s="73"/>
      <c r="AI227" s="73"/>
      <c r="AJ227" s="73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129"/>
      <c r="CA227" s="129"/>
      <c r="CB227" s="129"/>
      <c r="CC227" s="129"/>
      <c r="CD227" s="129"/>
      <c r="CE227" s="129"/>
      <c r="CF227" s="129"/>
      <c r="CG227" s="37"/>
      <c r="CH227" s="42"/>
      <c r="CI227" s="43"/>
      <c r="CJ227" s="37"/>
      <c r="CK227" s="37"/>
      <c r="CL227" s="37"/>
      <c r="CM227" s="37"/>
      <c r="CN227" s="37"/>
      <c r="CO227" s="37"/>
      <c r="CP227" s="37"/>
      <c r="CQ227" s="37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44"/>
    </row>
    <row r="228" spans="1:114" ht="12.75" hidden="1" outlineLevel="1">
      <c r="A228" s="4"/>
      <c r="B228" s="63"/>
      <c r="C228" s="52"/>
      <c r="D228" s="52"/>
      <c r="E228" s="61"/>
      <c r="F228" s="61"/>
      <c r="G228" s="52"/>
      <c r="H228" s="63"/>
      <c r="I228" s="63"/>
      <c r="J228" s="65"/>
      <c r="K228" s="65"/>
      <c r="L228" s="65"/>
      <c r="M228" s="65"/>
      <c r="N228" s="65"/>
      <c r="O228" s="65"/>
      <c r="P228" s="65"/>
      <c r="Q228" s="65"/>
      <c r="R228" s="65"/>
      <c r="S228" s="68"/>
      <c r="T228" s="68"/>
      <c r="U228" s="65"/>
      <c r="V228" s="92"/>
      <c r="W228" s="92"/>
      <c r="X228" s="71"/>
      <c r="Y228" s="72"/>
      <c r="Z228" s="72"/>
      <c r="AA228" s="72"/>
      <c r="AB228" s="72"/>
      <c r="AC228" s="72"/>
      <c r="AD228" s="72"/>
      <c r="AE228" s="68"/>
      <c r="AF228" s="73"/>
      <c r="AG228" s="73"/>
      <c r="AH228" s="73"/>
      <c r="AI228" s="73"/>
      <c r="AJ228" s="73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129"/>
      <c r="CA228" s="129"/>
      <c r="CB228" s="129"/>
      <c r="CC228" s="129"/>
      <c r="CD228" s="129"/>
      <c r="CE228" s="129"/>
      <c r="CF228" s="129"/>
      <c r="CG228" s="37"/>
      <c r="CH228" s="42"/>
      <c r="CI228" s="43"/>
      <c r="CJ228" s="37"/>
      <c r="CK228" s="37"/>
      <c r="CL228" s="37"/>
      <c r="CM228" s="37"/>
      <c r="CN228" s="37"/>
      <c r="CO228" s="37"/>
      <c r="CP228" s="37"/>
      <c r="CQ228" s="37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44"/>
    </row>
    <row r="229" spans="1:114" ht="12.75" hidden="1" outlineLevel="1">
      <c r="A229" s="4"/>
      <c r="B229" s="63"/>
      <c r="C229" s="52"/>
      <c r="D229" s="52"/>
      <c r="E229" s="61"/>
      <c r="F229" s="61"/>
      <c r="G229" s="52"/>
      <c r="H229" s="63"/>
      <c r="I229" s="63"/>
      <c r="J229" s="65"/>
      <c r="K229" s="65"/>
      <c r="L229" s="65"/>
      <c r="M229" s="65"/>
      <c r="N229" s="65"/>
      <c r="O229" s="65"/>
      <c r="P229" s="65"/>
      <c r="Q229" s="65"/>
      <c r="R229" s="65"/>
      <c r="S229" s="68"/>
      <c r="T229" s="68"/>
      <c r="U229" s="65"/>
      <c r="V229" s="92"/>
      <c r="W229" s="92"/>
      <c r="X229" s="71"/>
      <c r="Y229" s="72"/>
      <c r="Z229" s="72"/>
      <c r="AA229" s="72"/>
      <c r="AB229" s="72"/>
      <c r="AC229" s="72"/>
      <c r="AD229" s="72"/>
      <c r="AE229" s="68"/>
      <c r="AF229" s="73"/>
      <c r="AG229" s="73"/>
      <c r="AH229" s="73"/>
      <c r="AI229" s="73"/>
      <c r="AJ229" s="73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129"/>
      <c r="CA229" s="129"/>
      <c r="CB229" s="129"/>
      <c r="CC229" s="129"/>
      <c r="CD229" s="129"/>
      <c r="CE229" s="129"/>
      <c r="CF229" s="129"/>
      <c r="CG229" s="37"/>
      <c r="CH229" s="42"/>
      <c r="CI229" s="43"/>
      <c r="CJ229" s="37"/>
      <c r="CK229" s="37"/>
      <c r="CL229" s="37"/>
      <c r="CM229" s="37"/>
      <c r="CN229" s="37"/>
      <c r="CO229" s="37"/>
      <c r="CP229" s="37"/>
      <c r="CQ229" s="37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44"/>
    </row>
    <row r="230" spans="1:114" ht="12.75" hidden="1" outlineLevel="1">
      <c r="A230" s="4"/>
      <c r="B230" s="63"/>
      <c r="C230" s="52"/>
      <c r="D230" s="52"/>
      <c r="E230" s="61"/>
      <c r="F230" s="61"/>
      <c r="G230" s="52"/>
      <c r="H230" s="63"/>
      <c r="I230" s="63"/>
      <c r="J230" s="65"/>
      <c r="K230" s="65"/>
      <c r="L230" s="65"/>
      <c r="M230" s="65"/>
      <c r="N230" s="65"/>
      <c r="O230" s="65"/>
      <c r="P230" s="65"/>
      <c r="Q230" s="65"/>
      <c r="R230" s="65"/>
      <c r="S230" s="68"/>
      <c r="T230" s="68"/>
      <c r="U230" s="65"/>
      <c r="V230" s="92"/>
      <c r="W230" s="92"/>
      <c r="X230" s="71"/>
      <c r="Y230" s="72"/>
      <c r="Z230" s="72"/>
      <c r="AA230" s="72"/>
      <c r="AB230" s="72"/>
      <c r="AC230" s="72"/>
      <c r="AD230" s="72"/>
      <c r="AE230" s="68"/>
      <c r="AF230" s="73"/>
      <c r="AG230" s="73"/>
      <c r="AH230" s="73"/>
      <c r="AI230" s="73"/>
      <c r="AJ230" s="73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129"/>
      <c r="CA230" s="129"/>
      <c r="CB230" s="129"/>
      <c r="CC230" s="129"/>
      <c r="CD230" s="129"/>
      <c r="CE230" s="129"/>
      <c r="CF230" s="129"/>
      <c r="CG230" s="37"/>
      <c r="CH230" s="42"/>
      <c r="CI230" s="43"/>
      <c r="CJ230" s="37"/>
      <c r="CK230" s="37"/>
      <c r="CL230" s="37"/>
      <c r="CM230" s="37"/>
      <c r="CN230" s="37"/>
      <c r="CO230" s="37"/>
      <c r="CP230" s="37"/>
      <c r="CQ230" s="37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44"/>
    </row>
    <row r="231" spans="1:114" ht="12.75" hidden="1" outlineLevel="1">
      <c r="A231" s="4"/>
      <c r="B231" s="63"/>
      <c r="C231" s="52"/>
      <c r="D231" s="52"/>
      <c r="E231" s="61"/>
      <c r="F231" s="61"/>
      <c r="G231" s="52"/>
      <c r="H231" s="63"/>
      <c r="I231" s="63"/>
      <c r="J231" s="65"/>
      <c r="K231" s="65"/>
      <c r="L231" s="65"/>
      <c r="M231" s="65"/>
      <c r="N231" s="65"/>
      <c r="O231" s="65"/>
      <c r="P231" s="65"/>
      <c r="Q231" s="65"/>
      <c r="R231" s="65"/>
      <c r="S231" s="68"/>
      <c r="T231" s="68"/>
      <c r="U231" s="65"/>
      <c r="V231" s="92"/>
      <c r="W231" s="92"/>
      <c r="X231" s="71"/>
      <c r="Y231" s="72"/>
      <c r="Z231" s="72"/>
      <c r="AA231" s="72"/>
      <c r="AB231" s="72"/>
      <c r="AC231" s="72"/>
      <c r="AD231" s="72"/>
      <c r="AE231" s="68"/>
      <c r="AF231" s="73"/>
      <c r="AG231" s="73"/>
      <c r="AH231" s="73"/>
      <c r="AI231" s="73"/>
      <c r="AJ231" s="73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129"/>
      <c r="CA231" s="129"/>
      <c r="CB231" s="129"/>
      <c r="CC231" s="129"/>
      <c r="CD231" s="129"/>
      <c r="CE231" s="129"/>
      <c r="CF231" s="129"/>
      <c r="CG231" s="37"/>
      <c r="CH231" s="42"/>
      <c r="CI231" s="43"/>
      <c r="CJ231" s="37"/>
      <c r="CK231" s="37"/>
      <c r="CL231" s="37"/>
      <c r="CM231" s="37"/>
      <c r="CN231" s="37"/>
      <c r="CO231" s="37"/>
      <c r="CP231" s="37"/>
      <c r="CQ231" s="37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44"/>
    </row>
    <row r="232" spans="1:114" ht="12.75" hidden="1" outlineLevel="1">
      <c r="A232" s="4"/>
      <c r="B232" s="63"/>
      <c r="C232" s="52"/>
      <c r="D232" s="52"/>
      <c r="E232" s="61"/>
      <c r="F232" s="61"/>
      <c r="G232" s="52"/>
      <c r="H232" s="63"/>
      <c r="I232" s="63"/>
      <c r="J232" s="65"/>
      <c r="K232" s="65"/>
      <c r="L232" s="65"/>
      <c r="M232" s="65"/>
      <c r="N232" s="65"/>
      <c r="O232" s="65"/>
      <c r="P232" s="65"/>
      <c r="Q232" s="65"/>
      <c r="R232" s="65"/>
      <c r="S232" s="68"/>
      <c r="T232" s="68"/>
      <c r="U232" s="65"/>
      <c r="V232" s="92"/>
      <c r="W232" s="92"/>
      <c r="X232" s="71"/>
      <c r="Y232" s="72"/>
      <c r="Z232" s="72"/>
      <c r="AA232" s="72"/>
      <c r="AB232" s="72"/>
      <c r="AC232" s="72"/>
      <c r="AD232" s="72"/>
      <c r="AE232" s="68"/>
      <c r="AF232" s="73"/>
      <c r="AG232" s="73"/>
      <c r="AH232" s="73"/>
      <c r="AI232" s="73"/>
      <c r="AJ232" s="73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129"/>
      <c r="CA232" s="129"/>
      <c r="CB232" s="129"/>
      <c r="CC232" s="129"/>
      <c r="CD232" s="129"/>
      <c r="CE232" s="129"/>
      <c r="CF232" s="129"/>
      <c r="CG232" s="37"/>
      <c r="CH232" s="42"/>
      <c r="CI232" s="43"/>
      <c r="CJ232" s="37"/>
      <c r="CK232" s="37"/>
      <c r="CL232" s="37"/>
      <c r="CM232" s="37"/>
      <c r="CN232" s="37"/>
      <c r="CO232" s="37"/>
      <c r="CP232" s="37"/>
      <c r="CQ232" s="37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44"/>
    </row>
    <row r="233" spans="1:114" ht="12.75" hidden="1" outlineLevel="1">
      <c r="A233" s="4"/>
      <c r="B233" s="63"/>
      <c r="C233" s="52"/>
      <c r="D233" s="52"/>
      <c r="E233" s="61"/>
      <c r="F233" s="61"/>
      <c r="G233" s="52"/>
      <c r="H233" s="63"/>
      <c r="I233" s="63"/>
      <c r="J233" s="65"/>
      <c r="K233" s="65"/>
      <c r="L233" s="65"/>
      <c r="M233" s="65"/>
      <c r="N233" s="65"/>
      <c r="O233" s="65"/>
      <c r="P233" s="65"/>
      <c r="Q233" s="65"/>
      <c r="R233" s="65"/>
      <c r="S233" s="68"/>
      <c r="T233" s="68"/>
      <c r="U233" s="65"/>
      <c r="V233" s="92"/>
      <c r="W233" s="92"/>
      <c r="X233" s="71"/>
      <c r="Y233" s="72"/>
      <c r="Z233" s="72"/>
      <c r="AA233" s="72"/>
      <c r="AB233" s="72"/>
      <c r="AC233" s="72"/>
      <c r="AD233" s="72"/>
      <c r="AE233" s="68"/>
      <c r="AF233" s="73"/>
      <c r="AG233" s="73"/>
      <c r="AH233" s="73"/>
      <c r="AI233" s="73"/>
      <c r="AJ233" s="73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129"/>
      <c r="CA233" s="129"/>
      <c r="CB233" s="129"/>
      <c r="CC233" s="129"/>
      <c r="CD233" s="129"/>
      <c r="CE233" s="129"/>
      <c r="CF233" s="129"/>
      <c r="CG233" s="37"/>
      <c r="CH233" s="42"/>
      <c r="CI233" s="43"/>
      <c r="CJ233" s="37"/>
      <c r="CK233" s="37"/>
      <c r="CL233" s="37"/>
      <c r="CM233" s="37"/>
      <c r="CN233" s="37"/>
      <c r="CO233" s="37"/>
      <c r="CP233" s="37"/>
      <c r="CQ233" s="37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44"/>
    </row>
    <row r="234" spans="1:114" ht="12.75" hidden="1" outlineLevel="1">
      <c r="A234" s="4"/>
      <c r="B234" s="63"/>
      <c r="C234" s="52"/>
      <c r="D234" s="52"/>
      <c r="E234" s="61"/>
      <c r="F234" s="61"/>
      <c r="G234" s="52"/>
      <c r="H234" s="63"/>
      <c r="I234" s="63"/>
      <c r="J234" s="65"/>
      <c r="K234" s="65"/>
      <c r="L234" s="65"/>
      <c r="M234" s="65"/>
      <c r="N234" s="65"/>
      <c r="O234" s="65"/>
      <c r="P234" s="65"/>
      <c r="Q234" s="65"/>
      <c r="R234" s="65"/>
      <c r="S234" s="68"/>
      <c r="T234" s="68"/>
      <c r="U234" s="65"/>
      <c r="V234" s="92"/>
      <c r="W234" s="92"/>
      <c r="X234" s="71"/>
      <c r="Y234" s="72"/>
      <c r="Z234" s="72"/>
      <c r="AA234" s="72"/>
      <c r="AB234" s="72"/>
      <c r="AC234" s="72"/>
      <c r="AD234" s="72"/>
      <c r="AE234" s="68"/>
      <c r="AF234" s="73"/>
      <c r="AG234" s="73"/>
      <c r="AH234" s="73"/>
      <c r="AI234" s="73"/>
      <c r="AJ234" s="73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129"/>
      <c r="CA234" s="129"/>
      <c r="CB234" s="129"/>
      <c r="CC234" s="129"/>
      <c r="CD234" s="129"/>
      <c r="CE234" s="129"/>
      <c r="CF234" s="129"/>
      <c r="CG234" s="37"/>
      <c r="CH234" s="42"/>
      <c r="CI234" s="43"/>
      <c r="CJ234" s="37"/>
      <c r="CK234" s="37"/>
      <c r="CL234" s="37"/>
      <c r="CM234" s="37"/>
      <c r="CN234" s="37"/>
      <c r="CO234" s="37"/>
      <c r="CP234" s="37"/>
      <c r="CQ234" s="37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44"/>
    </row>
    <row r="235" spans="1:114" ht="12.75" hidden="1" outlineLevel="1">
      <c r="A235" s="4"/>
      <c r="B235" s="63"/>
      <c r="C235" s="52"/>
      <c r="D235" s="52"/>
      <c r="E235" s="61"/>
      <c r="F235" s="61"/>
      <c r="G235" s="52"/>
      <c r="H235" s="63"/>
      <c r="I235" s="63"/>
      <c r="J235" s="65"/>
      <c r="K235" s="65"/>
      <c r="L235" s="65"/>
      <c r="M235" s="65"/>
      <c r="N235" s="65"/>
      <c r="O235" s="65"/>
      <c r="P235" s="65"/>
      <c r="Q235" s="65"/>
      <c r="R235" s="65"/>
      <c r="S235" s="68"/>
      <c r="T235" s="68"/>
      <c r="U235" s="65"/>
      <c r="V235" s="92"/>
      <c r="W235" s="92"/>
      <c r="X235" s="71"/>
      <c r="Y235" s="72"/>
      <c r="Z235" s="72"/>
      <c r="AA235" s="72"/>
      <c r="AB235" s="72"/>
      <c r="AC235" s="72"/>
      <c r="AD235" s="72"/>
      <c r="AE235" s="68"/>
      <c r="AF235" s="73"/>
      <c r="AG235" s="73"/>
      <c r="AH235" s="73"/>
      <c r="AI235" s="73"/>
      <c r="AJ235" s="73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129"/>
      <c r="CA235" s="129"/>
      <c r="CB235" s="129"/>
      <c r="CC235" s="129"/>
      <c r="CD235" s="129"/>
      <c r="CE235" s="129"/>
      <c r="CF235" s="129"/>
      <c r="CG235" s="37"/>
      <c r="CH235" s="42"/>
      <c r="CI235" s="43"/>
      <c r="CJ235" s="37"/>
      <c r="CK235" s="37"/>
      <c r="CL235" s="37"/>
      <c r="CM235" s="37"/>
      <c r="CN235" s="37"/>
      <c r="CO235" s="37"/>
      <c r="CP235" s="37"/>
      <c r="CQ235" s="37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44"/>
    </row>
    <row r="236" spans="1:114" ht="12.75" hidden="1" outlineLevel="1">
      <c r="A236" s="4"/>
      <c r="B236" s="63"/>
      <c r="C236" s="52"/>
      <c r="D236" s="52"/>
      <c r="E236" s="61"/>
      <c r="F236" s="61"/>
      <c r="G236" s="52"/>
      <c r="H236" s="63"/>
      <c r="I236" s="63"/>
      <c r="J236" s="65"/>
      <c r="K236" s="65"/>
      <c r="L236" s="65"/>
      <c r="M236" s="65"/>
      <c r="N236" s="65"/>
      <c r="O236" s="65"/>
      <c r="P236" s="65"/>
      <c r="Q236" s="65"/>
      <c r="R236" s="65"/>
      <c r="S236" s="68"/>
      <c r="T236" s="68"/>
      <c r="U236" s="65"/>
      <c r="V236" s="92"/>
      <c r="W236" s="92"/>
      <c r="X236" s="71"/>
      <c r="Y236" s="72"/>
      <c r="Z236" s="72"/>
      <c r="AA236" s="72"/>
      <c r="AB236" s="72"/>
      <c r="AC236" s="72"/>
      <c r="AD236" s="72"/>
      <c r="AE236" s="68"/>
      <c r="AF236" s="73"/>
      <c r="AG236" s="73"/>
      <c r="AH236" s="73"/>
      <c r="AI236" s="73"/>
      <c r="AJ236" s="73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129"/>
      <c r="CA236" s="129"/>
      <c r="CB236" s="129"/>
      <c r="CC236" s="129"/>
      <c r="CD236" s="129"/>
      <c r="CE236" s="129"/>
      <c r="CF236" s="129"/>
      <c r="CG236" s="37"/>
      <c r="CH236" s="42"/>
      <c r="CI236" s="43"/>
      <c r="CJ236" s="37"/>
      <c r="CK236" s="37"/>
      <c r="CL236" s="37"/>
      <c r="CM236" s="37"/>
      <c r="CN236" s="37"/>
      <c r="CO236" s="37"/>
      <c r="CP236" s="37"/>
      <c r="CQ236" s="37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44"/>
    </row>
    <row r="237" spans="1:114" ht="12.75" hidden="1" outlineLevel="1">
      <c r="A237" s="4"/>
      <c r="B237" s="63"/>
      <c r="C237" s="52"/>
      <c r="D237" s="52"/>
      <c r="E237" s="61"/>
      <c r="F237" s="61"/>
      <c r="G237" s="52"/>
      <c r="H237" s="63"/>
      <c r="I237" s="63"/>
      <c r="J237" s="65"/>
      <c r="K237" s="65"/>
      <c r="L237" s="65"/>
      <c r="M237" s="65"/>
      <c r="N237" s="65"/>
      <c r="O237" s="65"/>
      <c r="P237" s="65"/>
      <c r="Q237" s="65"/>
      <c r="R237" s="65"/>
      <c r="S237" s="68"/>
      <c r="T237" s="68"/>
      <c r="U237" s="65"/>
      <c r="V237" s="92"/>
      <c r="W237" s="92"/>
      <c r="X237" s="71"/>
      <c r="Y237" s="72"/>
      <c r="Z237" s="72"/>
      <c r="AA237" s="72"/>
      <c r="AB237" s="72"/>
      <c r="AC237" s="72"/>
      <c r="AD237" s="72"/>
      <c r="AE237" s="68"/>
      <c r="AF237" s="73"/>
      <c r="AG237" s="73"/>
      <c r="AH237" s="73"/>
      <c r="AI237" s="73"/>
      <c r="AJ237" s="73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129"/>
      <c r="CA237" s="129"/>
      <c r="CB237" s="129"/>
      <c r="CC237" s="129"/>
      <c r="CD237" s="129"/>
      <c r="CE237" s="129"/>
      <c r="CF237" s="129"/>
      <c r="CG237" s="37"/>
      <c r="CH237" s="42"/>
      <c r="CI237" s="43"/>
      <c r="CJ237" s="37"/>
      <c r="CK237" s="37"/>
      <c r="CL237" s="37"/>
      <c r="CM237" s="37"/>
      <c r="CN237" s="37"/>
      <c r="CO237" s="37"/>
      <c r="CP237" s="37"/>
      <c r="CQ237" s="37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44"/>
    </row>
    <row r="238" spans="1:114" ht="12.75" hidden="1" outlineLevel="1">
      <c r="A238" s="4"/>
      <c r="B238" s="63"/>
      <c r="C238" s="52"/>
      <c r="D238" s="52"/>
      <c r="E238" s="61"/>
      <c r="F238" s="61"/>
      <c r="G238" s="52"/>
      <c r="H238" s="63"/>
      <c r="I238" s="63"/>
      <c r="J238" s="65"/>
      <c r="K238" s="65"/>
      <c r="L238" s="65"/>
      <c r="M238" s="65"/>
      <c r="N238" s="65"/>
      <c r="O238" s="65"/>
      <c r="P238" s="65"/>
      <c r="Q238" s="65"/>
      <c r="R238" s="65"/>
      <c r="S238" s="68"/>
      <c r="T238" s="68"/>
      <c r="U238" s="65"/>
      <c r="V238" s="92"/>
      <c r="W238" s="92"/>
      <c r="X238" s="71"/>
      <c r="Y238" s="72"/>
      <c r="Z238" s="72"/>
      <c r="AA238" s="72"/>
      <c r="AB238" s="72"/>
      <c r="AC238" s="72"/>
      <c r="AD238" s="72"/>
      <c r="AE238" s="68"/>
      <c r="AF238" s="73"/>
      <c r="AG238" s="73"/>
      <c r="AH238" s="73"/>
      <c r="AI238" s="73"/>
      <c r="AJ238" s="73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129"/>
      <c r="CA238" s="129"/>
      <c r="CB238" s="129"/>
      <c r="CC238" s="129"/>
      <c r="CD238" s="129"/>
      <c r="CE238" s="129"/>
      <c r="CF238" s="129"/>
      <c r="CG238" s="37"/>
      <c r="CH238" s="42"/>
      <c r="CI238" s="43"/>
      <c r="CJ238" s="37"/>
      <c r="CK238" s="37"/>
      <c r="CL238" s="37"/>
      <c r="CM238" s="37"/>
      <c r="CN238" s="37"/>
      <c r="CO238" s="37"/>
      <c r="CP238" s="37"/>
      <c r="CQ238" s="37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44"/>
    </row>
    <row r="239" spans="1:114" ht="12.75" hidden="1" outlineLevel="1">
      <c r="A239" s="4"/>
      <c r="B239" s="63"/>
      <c r="C239" s="52"/>
      <c r="D239" s="52"/>
      <c r="E239" s="61"/>
      <c r="F239" s="61"/>
      <c r="G239" s="52"/>
      <c r="H239" s="63"/>
      <c r="I239" s="63"/>
      <c r="J239" s="65"/>
      <c r="K239" s="65"/>
      <c r="L239" s="65"/>
      <c r="M239" s="65"/>
      <c r="N239" s="65"/>
      <c r="O239" s="65"/>
      <c r="P239" s="65"/>
      <c r="Q239" s="65"/>
      <c r="R239" s="65"/>
      <c r="S239" s="68"/>
      <c r="T239" s="68"/>
      <c r="U239" s="65"/>
      <c r="V239" s="92"/>
      <c r="W239" s="92"/>
      <c r="X239" s="71"/>
      <c r="Y239" s="72"/>
      <c r="Z239" s="72"/>
      <c r="AA239" s="72"/>
      <c r="AB239" s="72"/>
      <c r="AC239" s="72"/>
      <c r="AD239" s="72"/>
      <c r="AE239" s="68"/>
      <c r="AF239" s="73"/>
      <c r="AG239" s="73"/>
      <c r="AH239" s="73"/>
      <c r="AI239" s="73"/>
      <c r="AJ239" s="73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129"/>
      <c r="CA239" s="129"/>
      <c r="CB239" s="129"/>
      <c r="CC239" s="129"/>
      <c r="CD239" s="129"/>
      <c r="CE239" s="129"/>
      <c r="CF239" s="129"/>
      <c r="CG239" s="37"/>
      <c r="CH239" s="42"/>
      <c r="CI239" s="43"/>
      <c r="CJ239" s="37"/>
      <c r="CK239" s="37"/>
      <c r="CL239" s="37"/>
      <c r="CM239" s="37"/>
      <c r="CN239" s="37"/>
      <c r="CO239" s="37"/>
      <c r="CP239" s="37"/>
      <c r="CQ239" s="37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44"/>
    </row>
    <row r="240" spans="1:114" ht="12.75" hidden="1" outlineLevel="1">
      <c r="A240" s="4"/>
      <c r="B240" s="63"/>
      <c r="C240" s="52"/>
      <c r="D240" s="52"/>
      <c r="E240" s="61"/>
      <c r="F240" s="61"/>
      <c r="G240" s="52"/>
      <c r="H240" s="63"/>
      <c r="I240" s="63"/>
      <c r="J240" s="65"/>
      <c r="K240" s="65"/>
      <c r="L240" s="65"/>
      <c r="M240" s="65"/>
      <c r="N240" s="65"/>
      <c r="O240" s="65"/>
      <c r="P240" s="65"/>
      <c r="Q240" s="65"/>
      <c r="R240" s="65"/>
      <c r="S240" s="68"/>
      <c r="T240" s="68"/>
      <c r="U240" s="65"/>
      <c r="V240" s="92"/>
      <c r="W240" s="92"/>
      <c r="X240" s="71"/>
      <c r="Y240" s="72"/>
      <c r="Z240" s="72"/>
      <c r="AA240" s="72"/>
      <c r="AB240" s="72"/>
      <c r="AC240" s="72"/>
      <c r="AD240" s="72"/>
      <c r="AE240" s="68"/>
      <c r="AF240" s="73"/>
      <c r="AG240" s="73"/>
      <c r="AH240" s="73"/>
      <c r="AI240" s="73"/>
      <c r="AJ240" s="73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129"/>
      <c r="CA240" s="129"/>
      <c r="CB240" s="129"/>
      <c r="CC240" s="129"/>
      <c r="CD240" s="129"/>
      <c r="CE240" s="129"/>
      <c r="CF240" s="129"/>
      <c r="CG240" s="37"/>
      <c r="CH240" s="42"/>
      <c r="CI240" s="43"/>
      <c r="CJ240" s="37"/>
      <c r="CK240" s="37"/>
      <c r="CL240" s="37"/>
      <c r="CM240" s="37"/>
      <c r="CN240" s="37"/>
      <c r="CO240" s="37"/>
      <c r="CP240" s="37"/>
      <c r="CQ240" s="37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44"/>
    </row>
    <row r="241" spans="1:114" ht="12.75" hidden="1" outlineLevel="1">
      <c r="A241" s="4"/>
      <c r="B241" s="63"/>
      <c r="C241" s="52"/>
      <c r="D241" s="52"/>
      <c r="E241" s="61"/>
      <c r="F241" s="61"/>
      <c r="G241" s="52"/>
      <c r="H241" s="63"/>
      <c r="I241" s="63"/>
      <c r="J241" s="65"/>
      <c r="K241" s="65"/>
      <c r="L241" s="65"/>
      <c r="M241" s="65"/>
      <c r="N241" s="65"/>
      <c r="O241" s="65"/>
      <c r="P241" s="65"/>
      <c r="Q241" s="65"/>
      <c r="R241" s="65"/>
      <c r="S241" s="68"/>
      <c r="T241" s="68"/>
      <c r="U241" s="65"/>
      <c r="V241" s="92"/>
      <c r="W241" s="92"/>
      <c r="X241" s="71"/>
      <c r="Y241" s="72"/>
      <c r="Z241" s="72"/>
      <c r="AA241" s="72"/>
      <c r="AB241" s="72"/>
      <c r="AC241" s="72"/>
      <c r="AD241" s="72"/>
      <c r="AE241" s="68"/>
      <c r="AF241" s="73"/>
      <c r="AG241" s="73"/>
      <c r="AH241" s="73"/>
      <c r="AI241" s="73"/>
      <c r="AJ241" s="73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129"/>
      <c r="CA241" s="129"/>
      <c r="CB241" s="129"/>
      <c r="CC241" s="129"/>
      <c r="CD241" s="129"/>
      <c r="CE241" s="129"/>
      <c r="CF241" s="129"/>
      <c r="CG241" s="37"/>
      <c r="CH241" s="42"/>
      <c r="CI241" s="43"/>
      <c r="CJ241" s="37"/>
      <c r="CK241" s="37"/>
      <c r="CL241" s="37"/>
      <c r="CM241" s="37"/>
      <c r="CN241" s="37"/>
      <c r="CO241" s="37"/>
      <c r="CP241" s="37"/>
      <c r="CQ241" s="37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44"/>
    </row>
    <row r="242" spans="1:114" ht="12.75" hidden="1" outlineLevel="1">
      <c r="A242" s="4"/>
      <c r="B242" s="63"/>
      <c r="C242" s="52"/>
      <c r="D242" s="52"/>
      <c r="E242" s="61"/>
      <c r="F242" s="61"/>
      <c r="G242" s="52"/>
      <c r="H242" s="63"/>
      <c r="I242" s="63"/>
      <c r="J242" s="65"/>
      <c r="K242" s="65"/>
      <c r="L242" s="65"/>
      <c r="M242" s="65"/>
      <c r="N242" s="65"/>
      <c r="O242" s="65"/>
      <c r="P242" s="65"/>
      <c r="Q242" s="65"/>
      <c r="R242" s="65"/>
      <c r="S242" s="68"/>
      <c r="T242" s="68"/>
      <c r="U242" s="65"/>
      <c r="V242" s="92"/>
      <c r="W242" s="92"/>
      <c r="X242" s="71"/>
      <c r="Y242" s="72"/>
      <c r="Z242" s="72"/>
      <c r="AA242" s="72"/>
      <c r="AB242" s="72"/>
      <c r="AC242" s="72"/>
      <c r="AD242" s="72"/>
      <c r="AE242" s="68"/>
      <c r="AF242" s="73"/>
      <c r="AG242" s="73"/>
      <c r="AH242" s="73"/>
      <c r="AI242" s="73"/>
      <c r="AJ242" s="73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129"/>
      <c r="CA242" s="129"/>
      <c r="CB242" s="129"/>
      <c r="CC242" s="129"/>
      <c r="CD242" s="129"/>
      <c r="CE242" s="129"/>
      <c r="CF242" s="129"/>
      <c r="CG242" s="37"/>
      <c r="CH242" s="42"/>
      <c r="CI242" s="43"/>
      <c r="CJ242" s="37"/>
      <c r="CK242" s="37"/>
      <c r="CL242" s="37"/>
      <c r="CM242" s="37"/>
      <c r="CN242" s="37"/>
      <c r="CO242" s="37"/>
      <c r="CP242" s="37"/>
      <c r="CQ242" s="37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44"/>
    </row>
    <row r="243" spans="1:114" ht="12.75" hidden="1" outlineLevel="1">
      <c r="A243" s="4"/>
      <c r="B243" s="63"/>
      <c r="C243" s="52"/>
      <c r="D243" s="52"/>
      <c r="E243" s="61"/>
      <c r="F243" s="61"/>
      <c r="G243" s="52"/>
      <c r="H243" s="63"/>
      <c r="I243" s="63"/>
      <c r="J243" s="65"/>
      <c r="K243" s="65"/>
      <c r="L243" s="65"/>
      <c r="M243" s="65"/>
      <c r="N243" s="65"/>
      <c r="O243" s="65"/>
      <c r="P243" s="65"/>
      <c r="Q243" s="65"/>
      <c r="R243" s="65"/>
      <c r="S243" s="68"/>
      <c r="T243" s="68"/>
      <c r="U243" s="65"/>
      <c r="V243" s="92"/>
      <c r="W243" s="92"/>
      <c r="X243" s="71"/>
      <c r="Y243" s="72"/>
      <c r="Z243" s="72"/>
      <c r="AA243" s="72"/>
      <c r="AB243" s="72"/>
      <c r="AC243" s="72"/>
      <c r="AD243" s="72"/>
      <c r="AE243" s="68"/>
      <c r="AF243" s="73"/>
      <c r="AG243" s="73"/>
      <c r="AH243" s="73"/>
      <c r="AI243" s="73"/>
      <c r="AJ243" s="73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129"/>
      <c r="CA243" s="129"/>
      <c r="CB243" s="129"/>
      <c r="CC243" s="129"/>
      <c r="CD243" s="129"/>
      <c r="CE243" s="129"/>
      <c r="CF243" s="129"/>
      <c r="CG243" s="37"/>
      <c r="CH243" s="42"/>
      <c r="CI243" s="43"/>
      <c r="CJ243" s="37"/>
      <c r="CK243" s="37"/>
      <c r="CL243" s="37"/>
      <c r="CM243" s="37"/>
      <c r="CN243" s="37"/>
      <c r="CO243" s="37"/>
      <c r="CP243" s="37"/>
      <c r="CQ243" s="37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44"/>
    </row>
    <row r="244" spans="1:114" ht="12.75" hidden="1" outlineLevel="1">
      <c r="A244" s="4"/>
      <c r="B244" s="63"/>
      <c r="C244" s="52"/>
      <c r="D244" s="52"/>
      <c r="E244" s="61"/>
      <c r="F244" s="61"/>
      <c r="G244" s="52"/>
      <c r="H244" s="63"/>
      <c r="I244" s="63"/>
      <c r="J244" s="65"/>
      <c r="K244" s="65"/>
      <c r="L244" s="65"/>
      <c r="M244" s="65"/>
      <c r="N244" s="65"/>
      <c r="O244" s="65"/>
      <c r="P244" s="65"/>
      <c r="Q244" s="65"/>
      <c r="R244" s="65"/>
      <c r="S244" s="68"/>
      <c r="T244" s="68"/>
      <c r="U244" s="65"/>
      <c r="V244" s="92"/>
      <c r="W244" s="92"/>
      <c r="X244" s="71"/>
      <c r="Y244" s="72"/>
      <c r="Z244" s="72"/>
      <c r="AA244" s="72"/>
      <c r="AB244" s="72"/>
      <c r="AC244" s="72"/>
      <c r="AD244" s="72"/>
      <c r="AE244" s="68"/>
      <c r="AF244" s="73"/>
      <c r="AG244" s="73"/>
      <c r="AH244" s="73"/>
      <c r="AI244" s="73"/>
      <c r="AJ244" s="73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129"/>
      <c r="CA244" s="129"/>
      <c r="CB244" s="129"/>
      <c r="CC244" s="129"/>
      <c r="CD244" s="129"/>
      <c r="CE244" s="129"/>
      <c r="CF244" s="129"/>
      <c r="CG244" s="37"/>
      <c r="CH244" s="42"/>
      <c r="CI244" s="43"/>
      <c r="CJ244" s="37"/>
      <c r="CK244" s="37"/>
      <c r="CL244" s="37"/>
      <c r="CM244" s="37"/>
      <c r="CN244" s="37"/>
      <c r="CO244" s="37"/>
      <c r="CP244" s="37"/>
      <c r="CQ244" s="37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44"/>
    </row>
    <row r="245" spans="1:114" ht="12.75" hidden="1" outlineLevel="1">
      <c r="A245" s="4"/>
      <c r="B245" s="63"/>
      <c r="C245" s="52"/>
      <c r="D245" s="52"/>
      <c r="E245" s="61"/>
      <c r="F245" s="61"/>
      <c r="G245" s="52"/>
      <c r="H245" s="63"/>
      <c r="I245" s="63"/>
      <c r="J245" s="65"/>
      <c r="K245" s="65"/>
      <c r="L245" s="65"/>
      <c r="M245" s="65"/>
      <c r="N245" s="65"/>
      <c r="O245" s="65"/>
      <c r="P245" s="65"/>
      <c r="Q245" s="65"/>
      <c r="R245" s="65"/>
      <c r="S245" s="68"/>
      <c r="T245" s="68"/>
      <c r="U245" s="65"/>
      <c r="V245" s="92"/>
      <c r="W245" s="92"/>
      <c r="X245" s="71"/>
      <c r="Y245" s="72"/>
      <c r="Z245" s="72"/>
      <c r="AA245" s="72"/>
      <c r="AB245" s="72"/>
      <c r="AC245" s="72"/>
      <c r="AD245" s="72"/>
      <c r="AE245" s="68"/>
      <c r="AF245" s="73"/>
      <c r="AG245" s="73"/>
      <c r="AH245" s="73"/>
      <c r="AI245" s="73"/>
      <c r="AJ245" s="73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129"/>
      <c r="CA245" s="129"/>
      <c r="CB245" s="129"/>
      <c r="CC245" s="129"/>
      <c r="CD245" s="129"/>
      <c r="CE245" s="129"/>
      <c r="CF245" s="129"/>
      <c r="CG245" s="37"/>
      <c r="CH245" s="42"/>
      <c r="CI245" s="43"/>
      <c r="CJ245" s="37"/>
      <c r="CK245" s="37"/>
      <c r="CL245" s="37"/>
      <c r="CM245" s="37"/>
      <c r="CN245" s="37"/>
      <c r="CO245" s="37"/>
      <c r="CP245" s="37"/>
      <c r="CQ245" s="37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44"/>
    </row>
    <row r="246" spans="1:114" ht="12.75" hidden="1" outlineLevel="1">
      <c r="A246" s="4"/>
      <c r="B246" s="63"/>
      <c r="C246" s="52"/>
      <c r="D246" s="52"/>
      <c r="E246" s="61"/>
      <c r="F246" s="61"/>
      <c r="G246" s="52"/>
      <c r="H246" s="63"/>
      <c r="I246" s="63"/>
      <c r="J246" s="65"/>
      <c r="K246" s="65"/>
      <c r="L246" s="65"/>
      <c r="M246" s="65"/>
      <c r="N246" s="65"/>
      <c r="O246" s="65"/>
      <c r="P246" s="65"/>
      <c r="Q246" s="65"/>
      <c r="R246" s="65"/>
      <c r="S246" s="68"/>
      <c r="T246" s="68"/>
      <c r="U246" s="65"/>
      <c r="V246" s="92"/>
      <c r="W246" s="92"/>
      <c r="X246" s="71"/>
      <c r="Y246" s="72"/>
      <c r="Z246" s="72"/>
      <c r="AA246" s="72"/>
      <c r="AB246" s="72"/>
      <c r="AC246" s="72"/>
      <c r="AD246" s="72"/>
      <c r="AE246" s="68"/>
      <c r="AF246" s="73"/>
      <c r="AG246" s="73"/>
      <c r="AH246" s="73"/>
      <c r="AI246" s="73"/>
      <c r="AJ246" s="73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129"/>
      <c r="CA246" s="129"/>
      <c r="CB246" s="129"/>
      <c r="CC246" s="129"/>
      <c r="CD246" s="129"/>
      <c r="CE246" s="129"/>
      <c r="CF246" s="129"/>
      <c r="CG246" s="37"/>
      <c r="CH246" s="42"/>
      <c r="CI246" s="43"/>
      <c r="CJ246" s="37"/>
      <c r="CK246" s="37"/>
      <c r="CL246" s="37"/>
      <c r="CM246" s="37"/>
      <c r="CN246" s="37"/>
      <c r="CO246" s="37"/>
      <c r="CP246" s="37"/>
      <c r="CQ246" s="37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44"/>
    </row>
    <row r="247" spans="1:114" ht="12.75" hidden="1" outlineLevel="1">
      <c r="A247" s="4"/>
      <c r="B247" s="63"/>
      <c r="C247" s="52"/>
      <c r="D247" s="52"/>
      <c r="E247" s="61"/>
      <c r="F247" s="61"/>
      <c r="G247" s="52"/>
      <c r="H247" s="63"/>
      <c r="I247" s="63"/>
      <c r="J247" s="65"/>
      <c r="K247" s="65"/>
      <c r="L247" s="65"/>
      <c r="M247" s="65"/>
      <c r="N247" s="65"/>
      <c r="O247" s="65"/>
      <c r="P247" s="65"/>
      <c r="Q247" s="65"/>
      <c r="R247" s="65"/>
      <c r="S247" s="68"/>
      <c r="T247" s="68"/>
      <c r="U247" s="65"/>
      <c r="V247" s="92"/>
      <c r="W247" s="92"/>
      <c r="X247" s="71"/>
      <c r="Y247" s="72"/>
      <c r="Z247" s="72"/>
      <c r="AA247" s="72"/>
      <c r="AB247" s="72"/>
      <c r="AC247" s="72"/>
      <c r="AD247" s="72"/>
      <c r="AE247" s="68"/>
      <c r="AF247" s="73"/>
      <c r="AG247" s="73"/>
      <c r="AH247" s="73"/>
      <c r="AI247" s="73"/>
      <c r="AJ247" s="73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129"/>
      <c r="CA247" s="129"/>
      <c r="CB247" s="129"/>
      <c r="CC247" s="129"/>
      <c r="CD247" s="129"/>
      <c r="CE247" s="129"/>
      <c r="CF247" s="129"/>
      <c r="CG247" s="37"/>
      <c r="CH247" s="42"/>
      <c r="CI247" s="43"/>
      <c r="CJ247" s="37"/>
      <c r="CK247" s="37"/>
      <c r="CL247" s="37"/>
      <c r="CM247" s="37"/>
      <c r="CN247" s="37"/>
      <c r="CO247" s="37"/>
      <c r="CP247" s="37"/>
      <c r="CQ247" s="37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44"/>
    </row>
    <row r="248" spans="1:114" s="15" customFormat="1" ht="15" customHeight="1" collapsed="1">
      <c r="A248" s="14"/>
      <c r="B248" s="57"/>
      <c r="C248" s="133" t="s">
        <v>16</v>
      </c>
      <c r="D248" s="133"/>
      <c r="E248" s="134"/>
      <c r="F248" s="134"/>
      <c r="G248" s="135">
        <f>SUM(G7:G73)</f>
        <v>59</v>
      </c>
      <c r="H248" s="136"/>
      <c r="I248" s="136"/>
      <c r="J248" s="135">
        <f aca="true" t="shared" si="35" ref="J248:AP248">SUM(J7:J73)</f>
        <v>2010345</v>
      </c>
      <c r="K248" s="135">
        <f t="shared" si="35"/>
        <v>98381</v>
      </c>
      <c r="L248" s="135"/>
      <c r="M248" s="135">
        <f t="shared" si="35"/>
        <v>77212</v>
      </c>
      <c r="N248" s="135">
        <f t="shared" si="35"/>
        <v>33954</v>
      </c>
      <c r="O248" s="135">
        <f t="shared" si="35"/>
        <v>10748</v>
      </c>
      <c r="P248" s="135">
        <f t="shared" si="35"/>
        <v>17286</v>
      </c>
      <c r="Q248" s="135">
        <f t="shared" si="35"/>
        <v>10524</v>
      </c>
      <c r="R248" s="137">
        <f t="shared" si="35"/>
        <v>17936</v>
      </c>
      <c r="S248" s="138">
        <f t="shared" si="35"/>
        <v>403619.64000000013</v>
      </c>
      <c r="T248" s="135">
        <f t="shared" si="35"/>
        <v>260180.58</v>
      </c>
      <c r="U248" s="135">
        <f t="shared" si="35"/>
        <v>6862</v>
      </c>
      <c r="V248" s="135">
        <f t="shared" si="35"/>
        <v>310715.43999999994</v>
      </c>
      <c r="W248" s="135">
        <f t="shared" si="35"/>
        <v>195805.72099999993</v>
      </c>
      <c r="X248" s="135">
        <f t="shared" si="35"/>
        <v>3886</v>
      </c>
      <c r="Y248" s="135">
        <f t="shared" si="35"/>
        <v>92904.19999999998</v>
      </c>
      <c r="Z248" s="135">
        <f t="shared" si="35"/>
        <v>64374.85899999997</v>
      </c>
      <c r="AA248" s="135">
        <f t="shared" si="35"/>
        <v>0</v>
      </c>
      <c r="AB248" s="135">
        <f t="shared" si="35"/>
        <v>0</v>
      </c>
      <c r="AC248" s="135">
        <f t="shared" si="35"/>
        <v>0</v>
      </c>
      <c r="AD248" s="135">
        <f t="shared" si="35"/>
        <v>40240.35999999999</v>
      </c>
      <c r="AE248" s="139">
        <f t="shared" si="35"/>
        <v>26784.59</v>
      </c>
      <c r="AF248" s="135">
        <f t="shared" si="35"/>
        <v>0</v>
      </c>
      <c r="AG248" s="138">
        <f t="shared" si="35"/>
        <v>26784.59</v>
      </c>
      <c r="AH248" s="138">
        <f t="shared" si="35"/>
        <v>13455.770000000002</v>
      </c>
      <c r="AI248" s="135">
        <f t="shared" si="35"/>
        <v>0</v>
      </c>
      <c r="AJ248" s="135">
        <f t="shared" si="35"/>
        <v>443860</v>
      </c>
      <c r="AK248" s="135">
        <f t="shared" si="35"/>
        <v>0</v>
      </c>
      <c r="AL248" s="135">
        <f t="shared" si="35"/>
        <v>106</v>
      </c>
      <c r="AM248" s="135">
        <f t="shared" si="35"/>
        <v>216</v>
      </c>
      <c r="AN248" s="135">
        <f t="shared" si="35"/>
        <v>88</v>
      </c>
      <c r="AO248" s="135">
        <f t="shared" si="35"/>
        <v>0</v>
      </c>
      <c r="AP248" s="135">
        <f t="shared" si="35"/>
        <v>119</v>
      </c>
      <c r="AQ248" s="135">
        <f aca="true" t="shared" si="36" ref="AQ248:BV248">SUM(AQ7:AQ73)</f>
        <v>325731</v>
      </c>
      <c r="AR248" s="135">
        <f t="shared" si="36"/>
        <v>25765</v>
      </c>
      <c r="AS248" s="135">
        <f t="shared" si="36"/>
        <v>26862</v>
      </c>
      <c r="AT248" s="135">
        <f t="shared" si="36"/>
        <v>21599</v>
      </c>
      <c r="AU248" s="135">
        <f t="shared" si="36"/>
        <v>25131</v>
      </c>
      <c r="AV248" s="135">
        <f t="shared" si="36"/>
        <v>509843</v>
      </c>
      <c r="AW248" s="135">
        <f t="shared" si="36"/>
        <v>112316</v>
      </c>
      <c r="AX248" s="135">
        <f t="shared" si="36"/>
        <v>397527</v>
      </c>
      <c r="AY248" s="135">
        <f t="shared" si="36"/>
        <v>113936</v>
      </c>
      <c r="AZ248" s="135">
        <f t="shared" si="36"/>
        <v>13308</v>
      </c>
      <c r="BA248" s="135">
        <f t="shared" si="36"/>
        <v>94952</v>
      </c>
      <c r="BB248" s="135">
        <f t="shared" si="36"/>
        <v>94952</v>
      </c>
      <c r="BC248" s="135">
        <f t="shared" si="36"/>
        <v>2541</v>
      </c>
      <c r="BD248" s="135">
        <f t="shared" si="36"/>
        <v>1595</v>
      </c>
      <c r="BE248" s="135">
        <f t="shared" si="36"/>
        <v>22302</v>
      </c>
      <c r="BF248" s="135">
        <f t="shared" si="36"/>
        <v>61359</v>
      </c>
      <c r="BG248" s="135">
        <f t="shared" si="36"/>
        <v>25</v>
      </c>
      <c r="BH248" s="135">
        <f t="shared" si="36"/>
        <v>655576</v>
      </c>
      <c r="BI248" s="135">
        <f t="shared" si="36"/>
        <v>125794</v>
      </c>
      <c r="BJ248" s="135">
        <f t="shared" si="36"/>
        <v>8420</v>
      </c>
      <c r="BK248" s="135">
        <f t="shared" si="36"/>
        <v>25</v>
      </c>
      <c r="BL248" s="135">
        <f t="shared" si="36"/>
        <v>147266.22</v>
      </c>
      <c r="BM248" s="135">
        <f t="shared" si="36"/>
        <v>88908.96999999999</v>
      </c>
      <c r="BN248" s="135">
        <f t="shared" si="36"/>
        <v>31</v>
      </c>
      <c r="BO248" s="135">
        <f t="shared" si="36"/>
        <v>208685.71999999997</v>
      </c>
      <c r="BP248" s="135">
        <f t="shared" si="36"/>
        <v>142038.50999999998</v>
      </c>
      <c r="BQ248" s="135">
        <f t="shared" si="36"/>
        <v>3</v>
      </c>
      <c r="BR248" s="135">
        <f t="shared" si="36"/>
        <v>47667.700000000004</v>
      </c>
      <c r="BS248" s="135">
        <f t="shared" si="36"/>
        <v>29233.1</v>
      </c>
      <c r="BT248" s="135">
        <f t="shared" si="36"/>
        <v>0</v>
      </c>
      <c r="BU248" s="135">
        <f t="shared" si="36"/>
        <v>134</v>
      </c>
      <c r="BV248" s="135">
        <f t="shared" si="36"/>
        <v>48682</v>
      </c>
      <c r="BW248" s="135">
        <f aca="true" t="shared" si="37" ref="BW248:CQ248">SUM(BW7:BW73)</f>
        <v>153080</v>
      </c>
      <c r="BX248" s="135">
        <f t="shared" si="37"/>
        <v>40</v>
      </c>
      <c r="BY248" s="135">
        <f t="shared" si="37"/>
        <v>147822</v>
      </c>
      <c r="BZ248" s="135">
        <f t="shared" si="37"/>
        <v>0</v>
      </c>
      <c r="CA248" s="135">
        <f t="shared" si="37"/>
        <v>0</v>
      </c>
      <c r="CB248" s="135">
        <f t="shared" si="37"/>
        <v>0</v>
      </c>
      <c r="CC248" s="135">
        <f t="shared" si="37"/>
        <v>0</v>
      </c>
      <c r="CD248" s="135">
        <f t="shared" si="37"/>
        <v>0</v>
      </c>
      <c r="CE248" s="135">
        <f t="shared" si="37"/>
        <v>0</v>
      </c>
      <c r="CF248" s="135">
        <f t="shared" si="37"/>
        <v>0</v>
      </c>
      <c r="CG248" s="135">
        <f t="shared" si="37"/>
        <v>0</v>
      </c>
      <c r="CH248" s="135">
        <f t="shared" si="37"/>
        <v>0</v>
      </c>
      <c r="CI248" s="138">
        <f t="shared" si="37"/>
        <v>76579.69000000002</v>
      </c>
      <c r="CJ248" s="135">
        <f t="shared" si="37"/>
        <v>231604</v>
      </c>
      <c r="CK248" s="135">
        <f t="shared" si="37"/>
        <v>133223</v>
      </c>
      <c r="CL248" s="135">
        <f t="shared" si="37"/>
        <v>6</v>
      </c>
      <c r="CM248" s="135">
        <f t="shared" si="37"/>
        <v>112316</v>
      </c>
      <c r="CN248" s="135">
        <f t="shared" si="37"/>
        <v>53</v>
      </c>
      <c r="CO248" s="135">
        <f t="shared" si="37"/>
        <v>397527</v>
      </c>
      <c r="CP248" s="135">
        <f t="shared" si="37"/>
        <v>59</v>
      </c>
      <c r="CQ248" s="140">
        <f t="shared" si="37"/>
        <v>509843</v>
      </c>
      <c r="CR248" s="139">
        <f>(SUM(CR7:CR73))/G248</f>
        <v>45.96610169491525</v>
      </c>
      <c r="CS248" s="135">
        <f aca="true" t="shared" si="38" ref="CS248:DG248">SUM(CS7:CS73)</f>
        <v>59</v>
      </c>
      <c r="CT248" s="135">
        <f t="shared" si="38"/>
        <v>2</v>
      </c>
      <c r="CU248" s="135">
        <f t="shared" si="38"/>
        <v>2</v>
      </c>
      <c r="CV248" s="135">
        <f t="shared" si="38"/>
        <v>12</v>
      </c>
      <c r="CW248" s="135">
        <f t="shared" si="38"/>
        <v>138</v>
      </c>
      <c r="CX248" s="135">
        <f t="shared" si="38"/>
        <v>0</v>
      </c>
      <c r="CY248" s="135">
        <f t="shared" si="38"/>
        <v>0</v>
      </c>
      <c r="CZ248" s="135">
        <f t="shared" si="38"/>
        <v>10</v>
      </c>
      <c r="DA248" s="135">
        <f t="shared" si="38"/>
        <v>5</v>
      </c>
      <c r="DB248" s="135">
        <f t="shared" si="38"/>
        <v>5936</v>
      </c>
      <c r="DC248" s="135">
        <f t="shared" si="38"/>
        <v>2593</v>
      </c>
      <c r="DD248" s="135">
        <f t="shared" si="38"/>
        <v>2593</v>
      </c>
      <c r="DE248" s="135">
        <f t="shared" si="38"/>
        <v>1044</v>
      </c>
      <c r="DF248" s="135">
        <f t="shared" si="38"/>
        <v>381</v>
      </c>
      <c r="DG248" s="135">
        <f t="shared" si="38"/>
        <v>381</v>
      </c>
      <c r="DH248" s="137">
        <f>SUM(DH7:DH73)</f>
        <v>10</v>
      </c>
      <c r="DI248" s="137">
        <f>SUM(DI7:DI73)</f>
        <v>52173.70999999999</v>
      </c>
      <c r="DJ248" s="141">
        <f aca="true" t="shared" si="39" ref="DJ248:DJ264">Y248/S248*100</f>
        <v>23.017759988091747</v>
      </c>
    </row>
    <row r="249" spans="2:114" s="13" customFormat="1" ht="12.75">
      <c r="B249" s="142"/>
      <c r="C249" s="143"/>
      <c r="D249" s="144"/>
      <c r="E249" s="145"/>
      <c r="F249" s="145"/>
      <c r="G249" s="146"/>
      <c r="H249" s="144"/>
      <c r="I249" s="144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  <c r="BU249" s="146"/>
      <c r="BV249" s="146"/>
      <c r="BW249" s="146"/>
      <c r="BX249" s="146"/>
      <c r="BY249" s="146"/>
      <c r="BZ249" s="146"/>
      <c r="CA249" s="146"/>
      <c r="CB249" s="146"/>
      <c r="CC249" s="146"/>
      <c r="CD249" s="146"/>
      <c r="CE249" s="146"/>
      <c r="CF249" s="146"/>
      <c r="CG249" s="146"/>
      <c r="CH249" s="146"/>
      <c r="CI249" s="147"/>
      <c r="CJ249" s="146"/>
      <c r="CK249" s="146"/>
      <c r="CL249" s="146"/>
      <c r="CM249" s="146"/>
      <c r="CN249" s="146"/>
      <c r="CO249" s="146"/>
      <c r="CP249" s="146"/>
      <c r="CQ249" s="146"/>
      <c r="CR249" s="40"/>
      <c r="CS249" s="146"/>
      <c r="CT249" s="146"/>
      <c r="CU249" s="146"/>
      <c r="CV249" s="146"/>
      <c r="CW249" s="146"/>
      <c r="CX249" s="146"/>
      <c r="CY249" s="146"/>
      <c r="CZ249" s="146"/>
      <c r="DA249" s="146"/>
      <c r="DB249" s="146"/>
      <c r="DC249" s="146"/>
      <c r="DD249" s="146"/>
      <c r="DE249" s="146"/>
      <c r="DF249" s="146"/>
      <c r="DG249" s="146"/>
      <c r="DH249" s="40"/>
      <c r="DI249" s="40"/>
      <c r="DJ249" s="148"/>
    </row>
    <row r="250" spans="2:114" s="7" customFormat="1" ht="13.5">
      <c r="B250" s="149"/>
      <c r="C250" s="150" t="s">
        <v>15</v>
      </c>
      <c r="D250" s="151"/>
      <c r="E250" s="152"/>
      <c r="F250" s="152"/>
      <c r="G250" s="147">
        <f>G251+G252+G253+G254+G255+G256+G257</f>
        <v>45</v>
      </c>
      <c r="H250" s="151"/>
      <c r="I250" s="151"/>
      <c r="J250" s="147">
        <f aca="true" t="shared" si="40" ref="J250:BY250">J251+J252+J253+J254+J255+J256+J257</f>
        <v>1646085</v>
      </c>
      <c r="K250" s="147">
        <f t="shared" si="40"/>
        <v>82135</v>
      </c>
      <c r="L250" s="147"/>
      <c r="M250" s="147">
        <f t="shared" si="40"/>
        <v>65020</v>
      </c>
      <c r="N250" s="147">
        <f t="shared" si="40"/>
        <v>27793</v>
      </c>
      <c r="O250" s="147">
        <f t="shared" si="40"/>
        <v>6601</v>
      </c>
      <c r="P250" s="147">
        <f t="shared" si="40"/>
        <v>13129</v>
      </c>
      <c r="Q250" s="147">
        <f t="shared" si="40"/>
        <v>6442</v>
      </c>
      <c r="R250" s="147">
        <f t="shared" si="40"/>
        <v>11887</v>
      </c>
      <c r="S250" s="147">
        <f t="shared" si="40"/>
        <v>324720.48</v>
      </c>
      <c r="T250" s="147">
        <f t="shared" si="40"/>
        <v>202640.43</v>
      </c>
      <c r="U250" s="147">
        <f t="shared" si="40"/>
        <v>5016</v>
      </c>
      <c r="V250" s="147">
        <f t="shared" si="40"/>
        <v>274935.13</v>
      </c>
      <c r="W250" s="147">
        <f t="shared" si="40"/>
        <v>169705.36000000002</v>
      </c>
      <c r="X250" s="147">
        <f t="shared" si="40"/>
        <v>1585</v>
      </c>
      <c r="Y250" s="147">
        <f t="shared" si="40"/>
        <v>49785.34999999998</v>
      </c>
      <c r="Z250" s="147">
        <f t="shared" si="40"/>
        <v>32935.06999999996</v>
      </c>
      <c r="AA250" s="147">
        <f>AA251+AA252+AA253+AA254+AA255+AA256+AA257</f>
        <v>0</v>
      </c>
      <c r="AB250" s="147">
        <f>AB251+AB252+AB253+AB254+AB255+AB256+AB257</f>
        <v>0</v>
      </c>
      <c r="AC250" s="147">
        <f>AC251+AC252+AC253+AC254+AC255+AC256+AC257</f>
        <v>0</v>
      </c>
      <c r="AD250" s="147">
        <f t="shared" si="40"/>
        <v>37274.54</v>
      </c>
      <c r="AE250" s="147">
        <f t="shared" si="40"/>
        <v>24880.769999999997</v>
      </c>
      <c r="AF250" s="147">
        <f t="shared" si="40"/>
        <v>0</v>
      </c>
      <c r="AG250" s="147">
        <f t="shared" si="40"/>
        <v>24880.769999999997</v>
      </c>
      <c r="AH250" s="147">
        <f t="shared" si="40"/>
        <v>12393.77</v>
      </c>
      <c r="AI250" s="147">
        <f>AI251+AI252+AI253+AI254+AI255+AI256+AI257</f>
        <v>0</v>
      </c>
      <c r="AJ250" s="147">
        <f t="shared" si="40"/>
        <v>361995.02</v>
      </c>
      <c r="AK250" s="147">
        <f t="shared" si="40"/>
        <v>0</v>
      </c>
      <c r="AL250" s="147">
        <f t="shared" si="40"/>
        <v>84</v>
      </c>
      <c r="AM250" s="147">
        <f t="shared" si="40"/>
        <v>186</v>
      </c>
      <c r="AN250" s="147">
        <f t="shared" si="40"/>
        <v>74</v>
      </c>
      <c r="AO250" s="147">
        <f t="shared" si="40"/>
        <v>0</v>
      </c>
      <c r="AP250" s="147">
        <f t="shared" si="40"/>
        <v>105</v>
      </c>
      <c r="AQ250" s="147">
        <f t="shared" si="40"/>
        <v>272815</v>
      </c>
      <c r="AR250" s="147">
        <f t="shared" si="40"/>
        <v>25765</v>
      </c>
      <c r="AS250" s="147">
        <f t="shared" si="40"/>
        <v>22353</v>
      </c>
      <c r="AT250" s="147">
        <f t="shared" si="40"/>
        <v>17461</v>
      </c>
      <c r="AU250" s="147">
        <f t="shared" si="40"/>
        <v>12951</v>
      </c>
      <c r="AV250" s="147">
        <f t="shared" si="40"/>
        <v>405835</v>
      </c>
      <c r="AW250" s="147">
        <f t="shared" si="40"/>
        <v>112316</v>
      </c>
      <c r="AX250" s="147">
        <f t="shared" si="40"/>
        <v>293519</v>
      </c>
      <c r="AY250" s="147">
        <f t="shared" si="40"/>
        <v>77775</v>
      </c>
      <c r="AZ250" s="147">
        <f t="shared" si="40"/>
        <v>10367</v>
      </c>
      <c r="BA250" s="147">
        <f t="shared" si="40"/>
        <v>78553</v>
      </c>
      <c r="BB250" s="147">
        <f t="shared" si="40"/>
        <v>78553</v>
      </c>
      <c r="BC250" s="147">
        <f t="shared" si="40"/>
        <v>1791</v>
      </c>
      <c r="BD250" s="147">
        <f t="shared" si="40"/>
        <v>777</v>
      </c>
      <c r="BE250" s="147">
        <f t="shared" si="40"/>
        <v>17426</v>
      </c>
      <c r="BF250" s="147">
        <f t="shared" si="40"/>
        <v>47593</v>
      </c>
      <c r="BG250" s="147">
        <f t="shared" si="40"/>
        <v>11</v>
      </c>
      <c r="BH250" s="147">
        <f t="shared" si="40"/>
        <v>523113</v>
      </c>
      <c r="BI250" s="147">
        <f t="shared" si="40"/>
        <v>121394</v>
      </c>
      <c r="BJ250" s="147">
        <f t="shared" si="40"/>
        <v>6220</v>
      </c>
      <c r="BK250" s="147">
        <f t="shared" si="40"/>
        <v>22</v>
      </c>
      <c r="BL250" s="147">
        <f t="shared" si="40"/>
        <v>141010.59999999998</v>
      </c>
      <c r="BM250" s="147">
        <f t="shared" si="40"/>
        <v>84237.61000000002</v>
      </c>
      <c r="BN250" s="147">
        <f t="shared" si="40"/>
        <v>20</v>
      </c>
      <c r="BO250" s="147">
        <f t="shared" si="40"/>
        <v>136042.18</v>
      </c>
      <c r="BP250" s="147">
        <f t="shared" si="40"/>
        <v>89169.72</v>
      </c>
      <c r="BQ250" s="147">
        <f t="shared" si="40"/>
        <v>3</v>
      </c>
      <c r="BR250" s="147">
        <f t="shared" si="40"/>
        <v>47667.700000000004</v>
      </c>
      <c r="BS250" s="147">
        <f t="shared" si="40"/>
        <v>29233.1</v>
      </c>
      <c r="BT250" s="147">
        <f t="shared" si="40"/>
        <v>0</v>
      </c>
      <c r="BU250" s="147">
        <f t="shared" si="40"/>
        <v>131</v>
      </c>
      <c r="BV250" s="147">
        <f t="shared" si="40"/>
        <v>48682</v>
      </c>
      <c r="BW250" s="147">
        <f t="shared" si="40"/>
        <v>153080</v>
      </c>
      <c r="BX250" s="147">
        <f t="shared" si="40"/>
        <v>0</v>
      </c>
      <c r="BY250" s="147">
        <f t="shared" si="40"/>
        <v>140017</v>
      </c>
      <c r="BZ250" s="147">
        <f aca="true" t="shared" si="41" ref="BZ250:CI250">BZ251+BZ252+BZ253+BZ254+BZ255+BZ256+BZ257</f>
        <v>0</v>
      </c>
      <c r="CA250" s="147">
        <f t="shared" si="41"/>
        <v>0</v>
      </c>
      <c r="CB250" s="147">
        <f t="shared" si="41"/>
        <v>0</v>
      </c>
      <c r="CC250" s="147">
        <f t="shared" si="41"/>
        <v>0</v>
      </c>
      <c r="CD250" s="147">
        <f t="shared" si="41"/>
        <v>0</v>
      </c>
      <c r="CE250" s="147">
        <f t="shared" si="41"/>
        <v>0</v>
      </c>
      <c r="CF250" s="147">
        <f t="shared" si="41"/>
        <v>0</v>
      </c>
      <c r="CG250" s="147">
        <f t="shared" si="41"/>
        <v>0</v>
      </c>
      <c r="CH250" s="147">
        <f t="shared" si="41"/>
        <v>0</v>
      </c>
      <c r="CI250" s="147">
        <f t="shared" si="41"/>
        <v>54080.91</v>
      </c>
      <c r="CJ250" s="147">
        <f>CJ251+CJ252+CJ253+CJ254+CJ255+CJ256+CJ257</f>
        <v>193821</v>
      </c>
      <c r="CK250" s="147">
        <f>CK251+CK252+CK253+CK254+CK255+CK256+CK257</f>
        <v>111686</v>
      </c>
      <c r="CL250" s="147">
        <f aca="true" t="shared" si="42" ref="CL250:CQ250">CL251+CL252+CL253+CL254+CL255+CL256+CL257</f>
        <v>6</v>
      </c>
      <c r="CM250" s="147">
        <f t="shared" si="42"/>
        <v>112316</v>
      </c>
      <c r="CN250" s="147">
        <f t="shared" si="42"/>
        <v>39</v>
      </c>
      <c r="CO250" s="147">
        <f t="shared" si="42"/>
        <v>293519</v>
      </c>
      <c r="CP250" s="147">
        <f t="shared" si="42"/>
        <v>45</v>
      </c>
      <c r="CQ250" s="147">
        <f t="shared" si="42"/>
        <v>405835</v>
      </c>
      <c r="CR250" s="153">
        <f aca="true" t="shared" si="43" ref="CR250:DI250">CR251+CR252+CR253+CR254+CR255+CR256+CR257</f>
        <v>1800</v>
      </c>
      <c r="CS250" s="147">
        <f t="shared" si="43"/>
        <v>45</v>
      </c>
      <c r="CT250" s="147">
        <f t="shared" si="43"/>
        <v>2</v>
      </c>
      <c r="CU250" s="147">
        <f t="shared" si="43"/>
        <v>2</v>
      </c>
      <c r="CV250" s="147">
        <f t="shared" si="43"/>
        <v>7</v>
      </c>
      <c r="CW250" s="147">
        <f t="shared" si="43"/>
        <v>113</v>
      </c>
      <c r="CX250" s="147">
        <f t="shared" si="43"/>
        <v>0</v>
      </c>
      <c r="CY250" s="147">
        <f t="shared" si="43"/>
        <v>0</v>
      </c>
      <c r="CZ250" s="147">
        <f t="shared" si="43"/>
        <v>5</v>
      </c>
      <c r="DA250" s="147">
        <f t="shared" si="43"/>
        <v>5</v>
      </c>
      <c r="DB250" s="147">
        <f t="shared" si="43"/>
        <v>4635</v>
      </c>
      <c r="DC250" s="147">
        <f t="shared" si="43"/>
        <v>1973</v>
      </c>
      <c r="DD250" s="147">
        <f t="shared" si="43"/>
        <v>1973</v>
      </c>
      <c r="DE250" s="147">
        <f t="shared" si="43"/>
        <v>460</v>
      </c>
      <c r="DF250" s="147">
        <f t="shared" si="43"/>
        <v>156</v>
      </c>
      <c r="DG250" s="147">
        <f t="shared" si="43"/>
        <v>156</v>
      </c>
      <c r="DH250" s="154">
        <f t="shared" si="43"/>
        <v>2</v>
      </c>
      <c r="DI250" s="154">
        <f t="shared" si="43"/>
        <v>13273.59</v>
      </c>
      <c r="DJ250" s="155">
        <f t="shared" si="39"/>
        <v>15.33175548397809</v>
      </c>
    </row>
    <row r="251" spans="2:114" s="2" customFormat="1" ht="12.75">
      <c r="B251" s="156"/>
      <c r="C251" s="157" t="s">
        <v>10</v>
      </c>
      <c r="D251" s="144"/>
      <c r="E251" s="145"/>
      <c r="F251" s="145"/>
      <c r="G251" s="146"/>
      <c r="H251" s="158">
        <v>5</v>
      </c>
      <c r="I251" s="159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  <c r="BU251" s="146"/>
      <c r="BV251" s="146"/>
      <c r="BW251" s="146"/>
      <c r="BX251" s="146"/>
      <c r="BY251" s="146"/>
      <c r="BZ251" s="146"/>
      <c r="CA251" s="146"/>
      <c r="CB251" s="146"/>
      <c r="CC251" s="146"/>
      <c r="CD251" s="146"/>
      <c r="CE251" s="146"/>
      <c r="CF251" s="146"/>
      <c r="CG251" s="146"/>
      <c r="CH251" s="146"/>
      <c r="CI251" s="147"/>
      <c r="CJ251" s="146"/>
      <c r="CK251" s="146"/>
      <c r="CL251" s="146"/>
      <c r="CM251" s="146"/>
      <c r="CN251" s="146"/>
      <c r="CO251" s="146"/>
      <c r="CP251" s="146"/>
      <c r="CQ251" s="146"/>
      <c r="CR251" s="160"/>
      <c r="CS251" s="146"/>
      <c r="CT251" s="146"/>
      <c r="CU251" s="146"/>
      <c r="CV251" s="146"/>
      <c r="CW251" s="146"/>
      <c r="CX251" s="146"/>
      <c r="CY251" s="146"/>
      <c r="CZ251" s="146"/>
      <c r="DA251" s="146"/>
      <c r="DB251" s="146"/>
      <c r="DC251" s="146"/>
      <c r="DD251" s="146"/>
      <c r="DE251" s="146"/>
      <c r="DF251" s="146"/>
      <c r="DG251" s="146"/>
      <c r="DH251" s="161"/>
      <c r="DI251" s="161"/>
      <c r="DJ251" s="162"/>
    </row>
    <row r="252" spans="2:114" s="2" customFormat="1" ht="12.75">
      <c r="B252" s="156"/>
      <c r="C252" s="157" t="s">
        <v>11</v>
      </c>
      <c r="D252" s="144"/>
      <c r="E252" s="145"/>
      <c r="F252" s="145"/>
      <c r="G252" s="146">
        <f>G37+G38</f>
        <v>2</v>
      </c>
      <c r="H252" s="158">
        <v>9</v>
      </c>
      <c r="I252" s="159"/>
      <c r="J252" s="146">
        <f aca="true" t="shared" si="44" ref="J252:AP252">J37+J38</f>
        <v>32845</v>
      </c>
      <c r="K252" s="146">
        <f t="shared" si="44"/>
        <v>2415</v>
      </c>
      <c r="L252" s="146"/>
      <c r="M252" s="146">
        <f t="shared" si="44"/>
        <v>0</v>
      </c>
      <c r="N252" s="146">
        <f t="shared" si="44"/>
        <v>2302</v>
      </c>
      <c r="O252" s="146">
        <f t="shared" si="44"/>
        <v>159</v>
      </c>
      <c r="P252" s="146">
        <f t="shared" si="44"/>
        <v>351</v>
      </c>
      <c r="Q252" s="146">
        <f t="shared" si="44"/>
        <v>164</v>
      </c>
      <c r="R252" s="146">
        <f t="shared" si="44"/>
        <v>283</v>
      </c>
      <c r="S252" s="163">
        <f t="shared" si="44"/>
        <v>8299.7</v>
      </c>
      <c r="T252" s="146">
        <f t="shared" si="44"/>
        <v>4773.4</v>
      </c>
      <c r="U252" s="146">
        <f t="shared" si="44"/>
        <v>142</v>
      </c>
      <c r="V252" s="146">
        <f t="shared" si="44"/>
        <v>7294.4</v>
      </c>
      <c r="W252" s="146">
        <f t="shared" si="44"/>
        <v>4177.7</v>
      </c>
      <c r="X252" s="146">
        <f t="shared" si="44"/>
        <v>17</v>
      </c>
      <c r="Y252" s="146">
        <f t="shared" si="44"/>
        <v>1005.3000000000011</v>
      </c>
      <c r="Z252" s="146">
        <f t="shared" si="44"/>
        <v>595.7</v>
      </c>
      <c r="AA252" s="146">
        <f t="shared" si="44"/>
        <v>0</v>
      </c>
      <c r="AB252" s="146">
        <f t="shared" si="44"/>
        <v>0</v>
      </c>
      <c r="AC252" s="146">
        <f t="shared" si="44"/>
        <v>0</v>
      </c>
      <c r="AD252" s="163">
        <f t="shared" si="44"/>
        <v>1347.5</v>
      </c>
      <c r="AE252" s="146">
        <f t="shared" si="44"/>
        <v>1347.5</v>
      </c>
      <c r="AF252" s="146">
        <f t="shared" si="44"/>
        <v>0</v>
      </c>
      <c r="AG252" s="146">
        <f t="shared" si="44"/>
        <v>1347.5</v>
      </c>
      <c r="AH252" s="146">
        <f t="shared" si="44"/>
        <v>0</v>
      </c>
      <c r="AI252" s="146">
        <f t="shared" si="44"/>
        <v>0</v>
      </c>
      <c r="AJ252" s="146">
        <f t="shared" si="44"/>
        <v>9647.2</v>
      </c>
      <c r="AK252" s="146">
        <f t="shared" si="44"/>
        <v>0</v>
      </c>
      <c r="AL252" s="146">
        <f t="shared" si="44"/>
        <v>5</v>
      </c>
      <c r="AM252" s="146">
        <f t="shared" si="44"/>
        <v>5</v>
      </c>
      <c r="AN252" s="146">
        <f t="shared" si="44"/>
        <v>5</v>
      </c>
      <c r="AO252" s="146">
        <f t="shared" si="44"/>
        <v>0</v>
      </c>
      <c r="AP252" s="146">
        <f t="shared" si="44"/>
        <v>5</v>
      </c>
      <c r="AQ252" s="146">
        <f aca="true" t="shared" si="45" ref="AQ252:BV252">AQ37+AQ38</f>
        <v>9360</v>
      </c>
      <c r="AR252" s="146">
        <f t="shared" si="45"/>
        <v>1166</v>
      </c>
      <c r="AS252" s="146">
        <f t="shared" si="45"/>
        <v>555</v>
      </c>
      <c r="AT252" s="146">
        <f t="shared" si="45"/>
        <v>496</v>
      </c>
      <c r="AU252" s="146">
        <f t="shared" si="45"/>
        <v>350</v>
      </c>
      <c r="AV252" s="146">
        <f t="shared" si="45"/>
        <v>10600</v>
      </c>
      <c r="AW252" s="146">
        <f t="shared" si="45"/>
        <v>0</v>
      </c>
      <c r="AX252" s="146">
        <f t="shared" si="45"/>
        <v>10600</v>
      </c>
      <c r="AY252" s="146">
        <f t="shared" si="45"/>
        <v>0</v>
      </c>
      <c r="AZ252" s="146">
        <f t="shared" si="45"/>
        <v>469</v>
      </c>
      <c r="BA252" s="146">
        <f t="shared" si="45"/>
        <v>2090</v>
      </c>
      <c r="BB252" s="146">
        <f t="shared" si="45"/>
        <v>2090</v>
      </c>
      <c r="BC252" s="146">
        <f t="shared" si="45"/>
        <v>0</v>
      </c>
      <c r="BD252" s="146">
        <f t="shared" si="45"/>
        <v>10</v>
      </c>
      <c r="BE252" s="146">
        <f t="shared" si="45"/>
        <v>493</v>
      </c>
      <c r="BF252" s="146">
        <f t="shared" si="45"/>
        <v>1238</v>
      </c>
      <c r="BG252" s="146">
        <f t="shared" si="45"/>
        <v>0</v>
      </c>
      <c r="BH252" s="146">
        <f t="shared" si="45"/>
        <v>28500</v>
      </c>
      <c r="BI252" s="146">
        <f t="shared" si="45"/>
        <v>8175</v>
      </c>
      <c r="BJ252" s="146">
        <f t="shared" si="45"/>
        <v>225</v>
      </c>
      <c r="BK252" s="146">
        <f t="shared" si="45"/>
        <v>2</v>
      </c>
      <c r="BL252" s="146">
        <f t="shared" si="45"/>
        <v>8299.7</v>
      </c>
      <c r="BM252" s="146">
        <f t="shared" si="45"/>
        <v>4773.4</v>
      </c>
      <c r="BN252" s="146">
        <f t="shared" si="45"/>
        <v>0</v>
      </c>
      <c r="BO252" s="146">
        <f t="shared" si="45"/>
        <v>0</v>
      </c>
      <c r="BP252" s="146">
        <f t="shared" si="45"/>
        <v>0</v>
      </c>
      <c r="BQ252" s="146">
        <f t="shared" si="45"/>
        <v>0</v>
      </c>
      <c r="BR252" s="146">
        <f t="shared" si="45"/>
        <v>0</v>
      </c>
      <c r="BS252" s="146">
        <f t="shared" si="45"/>
        <v>0</v>
      </c>
      <c r="BT252" s="146">
        <f t="shared" si="45"/>
        <v>0</v>
      </c>
      <c r="BU252" s="146">
        <f t="shared" si="45"/>
        <v>4</v>
      </c>
      <c r="BV252" s="146">
        <f t="shared" si="45"/>
        <v>2090</v>
      </c>
      <c r="BW252" s="146">
        <f aca="true" t="shared" si="46" ref="BW252:DI252">BW37+BW38</f>
        <v>17159</v>
      </c>
      <c r="BX252" s="146">
        <f t="shared" si="46"/>
        <v>0</v>
      </c>
      <c r="BY252" s="146">
        <f t="shared" si="46"/>
        <v>9360</v>
      </c>
      <c r="BZ252" s="146">
        <f t="shared" si="46"/>
        <v>0</v>
      </c>
      <c r="CA252" s="146">
        <f t="shared" si="46"/>
        <v>0</v>
      </c>
      <c r="CB252" s="146">
        <f t="shared" si="46"/>
        <v>0</v>
      </c>
      <c r="CC252" s="146">
        <f t="shared" si="46"/>
        <v>0</v>
      </c>
      <c r="CD252" s="146">
        <f t="shared" si="46"/>
        <v>0</v>
      </c>
      <c r="CE252" s="146">
        <f t="shared" si="46"/>
        <v>0</v>
      </c>
      <c r="CF252" s="146">
        <f t="shared" si="46"/>
        <v>0</v>
      </c>
      <c r="CG252" s="146">
        <f t="shared" si="46"/>
        <v>0</v>
      </c>
      <c r="CH252" s="146">
        <f t="shared" si="46"/>
        <v>0</v>
      </c>
      <c r="CI252" s="147">
        <f t="shared" si="46"/>
        <v>1834.3000000000002</v>
      </c>
      <c r="CJ252" s="146">
        <f t="shared" si="46"/>
        <v>6381</v>
      </c>
      <c r="CK252" s="146">
        <f t="shared" si="46"/>
        <v>3966</v>
      </c>
      <c r="CL252" s="146">
        <f t="shared" si="46"/>
        <v>0</v>
      </c>
      <c r="CM252" s="146">
        <f t="shared" si="46"/>
        <v>0</v>
      </c>
      <c r="CN252" s="146">
        <f t="shared" si="46"/>
        <v>2</v>
      </c>
      <c r="CO252" s="146">
        <f t="shared" si="46"/>
        <v>10600</v>
      </c>
      <c r="CP252" s="146">
        <f t="shared" si="46"/>
        <v>2</v>
      </c>
      <c r="CQ252" s="146">
        <f t="shared" si="46"/>
        <v>10600</v>
      </c>
      <c r="CR252" s="160">
        <f t="shared" si="46"/>
        <v>64</v>
      </c>
      <c r="CS252" s="146">
        <f t="shared" si="46"/>
        <v>2</v>
      </c>
      <c r="CT252" s="146">
        <f t="shared" si="46"/>
        <v>0</v>
      </c>
      <c r="CU252" s="146">
        <f t="shared" si="46"/>
        <v>0</v>
      </c>
      <c r="CV252" s="146">
        <f t="shared" si="46"/>
        <v>0</v>
      </c>
      <c r="CW252" s="146">
        <f t="shared" si="46"/>
        <v>4</v>
      </c>
      <c r="CX252" s="146">
        <f t="shared" si="46"/>
        <v>0</v>
      </c>
      <c r="CY252" s="146">
        <f t="shared" si="46"/>
        <v>0</v>
      </c>
      <c r="CZ252" s="146">
        <f t="shared" si="46"/>
        <v>0</v>
      </c>
      <c r="DA252" s="146">
        <f t="shared" si="46"/>
        <v>0</v>
      </c>
      <c r="DB252" s="146">
        <f t="shared" si="46"/>
        <v>144</v>
      </c>
      <c r="DC252" s="146">
        <f t="shared" si="46"/>
        <v>57</v>
      </c>
      <c r="DD252" s="146">
        <f t="shared" si="46"/>
        <v>57</v>
      </c>
      <c r="DE252" s="146">
        <f t="shared" si="46"/>
        <v>11</v>
      </c>
      <c r="DF252" s="146">
        <f t="shared" si="46"/>
        <v>1</v>
      </c>
      <c r="DG252" s="146">
        <f t="shared" si="46"/>
        <v>1</v>
      </c>
      <c r="DH252" s="161">
        <f t="shared" si="46"/>
        <v>0</v>
      </c>
      <c r="DI252" s="161">
        <f t="shared" si="46"/>
        <v>0</v>
      </c>
      <c r="DJ252" s="162">
        <f t="shared" si="39"/>
        <v>12.112485993469656</v>
      </c>
    </row>
    <row r="253" spans="2:114" s="2" customFormat="1" ht="12.75">
      <c r="B253" s="156"/>
      <c r="C253" s="157" t="s">
        <v>12</v>
      </c>
      <c r="D253" s="144"/>
      <c r="E253" s="145"/>
      <c r="F253" s="145"/>
      <c r="G253" s="146">
        <f>G9</f>
        <v>1</v>
      </c>
      <c r="H253" s="158">
        <v>9</v>
      </c>
      <c r="I253" s="159"/>
      <c r="J253" s="146">
        <f aca="true" t="shared" si="47" ref="J253:AP253">J9</f>
        <v>17018</v>
      </c>
      <c r="K253" s="146">
        <f t="shared" si="47"/>
        <v>706</v>
      </c>
      <c r="L253" s="146"/>
      <c r="M253" s="146">
        <f t="shared" si="47"/>
        <v>0</v>
      </c>
      <c r="N253" s="146">
        <f t="shared" si="47"/>
        <v>695</v>
      </c>
      <c r="O253" s="146">
        <f t="shared" si="47"/>
        <v>62</v>
      </c>
      <c r="P253" s="146">
        <f t="shared" si="47"/>
        <v>169</v>
      </c>
      <c r="Q253" s="146">
        <f t="shared" si="47"/>
        <v>64</v>
      </c>
      <c r="R253" s="146">
        <f t="shared" si="47"/>
        <v>143</v>
      </c>
      <c r="S253" s="163">
        <f t="shared" si="47"/>
        <v>4417.7</v>
      </c>
      <c r="T253" s="146">
        <f t="shared" si="47"/>
        <v>2632.7</v>
      </c>
      <c r="U253" s="146">
        <f t="shared" si="47"/>
        <v>59</v>
      </c>
      <c r="V253" s="146">
        <f t="shared" si="47"/>
        <v>4230.200000000002</v>
      </c>
      <c r="W253" s="146">
        <f t="shared" si="47"/>
        <v>2524.7999999999997</v>
      </c>
      <c r="X253" s="146">
        <f t="shared" si="47"/>
        <v>3</v>
      </c>
      <c r="Y253" s="146">
        <f t="shared" si="47"/>
        <v>187.49999999999818</v>
      </c>
      <c r="Z253" s="146">
        <f t="shared" si="47"/>
        <v>107.90000000000009</v>
      </c>
      <c r="AA253" s="146">
        <f t="shared" si="47"/>
        <v>0</v>
      </c>
      <c r="AB253" s="146">
        <f t="shared" si="47"/>
        <v>0</v>
      </c>
      <c r="AC253" s="146">
        <f t="shared" si="47"/>
        <v>0</v>
      </c>
      <c r="AD253" s="163">
        <f t="shared" si="47"/>
        <v>0</v>
      </c>
      <c r="AE253" s="146">
        <f t="shared" si="47"/>
        <v>0</v>
      </c>
      <c r="AF253" s="146">
        <f t="shared" si="47"/>
        <v>0</v>
      </c>
      <c r="AG253" s="146">
        <f t="shared" si="47"/>
        <v>0</v>
      </c>
      <c r="AH253" s="146">
        <f t="shared" si="47"/>
        <v>0</v>
      </c>
      <c r="AI253" s="146">
        <f t="shared" si="47"/>
        <v>0</v>
      </c>
      <c r="AJ253" s="146">
        <f t="shared" si="47"/>
        <v>4417.7</v>
      </c>
      <c r="AK253" s="146">
        <f t="shared" si="47"/>
        <v>0</v>
      </c>
      <c r="AL253" s="146">
        <f t="shared" si="47"/>
        <v>2</v>
      </c>
      <c r="AM253" s="146">
        <f t="shared" si="47"/>
        <v>2</v>
      </c>
      <c r="AN253" s="146">
        <f t="shared" si="47"/>
        <v>2</v>
      </c>
      <c r="AO253" s="146">
        <f t="shared" si="47"/>
        <v>0</v>
      </c>
      <c r="AP253" s="146">
        <f t="shared" si="47"/>
        <v>2</v>
      </c>
      <c r="AQ253" s="146">
        <f aca="true" t="shared" si="48" ref="AQ253:BV253">AQ9</f>
        <v>3930</v>
      </c>
      <c r="AR253" s="146">
        <f t="shared" si="48"/>
        <v>0</v>
      </c>
      <c r="AS253" s="146">
        <f t="shared" si="48"/>
        <v>262</v>
      </c>
      <c r="AT253" s="146">
        <f t="shared" si="48"/>
        <v>157</v>
      </c>
      <c r="AU253" s="146">
        <f t="shared" si="48"/>
        <v>140</v>
      </c>
      <c r="AV253" s="146">
        <f t="shared" si="48"/>
        <v>7246</v>
      </c>
      <c r="AW253" s="146">
        <f t="shared" si="48"/>
        <v>7246</v>
      </c>
      <c r="AX253" s="146">
        <f t="shared" si="48"/>
        <v>0</v>
      </c>
      <c r="AY253" s="146">
        <f t="shared" si="48"/>
        <v>2140</v>
      </c>
      <c r="AZ253" s="146">
        <f t="shared" si="48"/>
        <v>136</v>
      </c>
      <c r="BA253" s="146">
        <f t="shared" si="48"/>
        <v>663</v>
      </c>
      <c r="BB253" s="146">
        <f t="shared" si="48"/>
        <v>663</v>
      </c>
      <c r="BC253" s="146">
        <f t="shared" si="48"/>
        <v>34</v>
      </c>
      <c r="BD253" s="146">
        <f t="shared" si="48"/>
        <v>4</v>
      </c>
      <c r="BE253" s="146">
        <f t="shared" si="48"/>
        <v>231</v>
      </c>
      <c r="BF253" s="146">
        <f t="shared" si="48"/>
        <v>603</v>
      </c>
      <c r="BG253" s="146">
        <f t="shared" si="48"/>
        <v>2</v>
      </c>
      <c r="BH253" s="146">
        <f t="shared" si="48"/>
        <v>3570</v>
      </c>
      <c r="BI253" s="146">
        <f t="shared" si="48"/>
        <v>1400</v>
      </c>
      <c r="BJ253" s="146">
        <f t="shared" si="48"/>
        <v>90</v>
      </c>
      <c r="BK253" s="146">
        <f t="shared" si="48"/>
        <v>0</v>
      </c>
      <c r="BL253" s="146">
        <f t="shared" si="48"/>
        <v>0</v>
      </c>
      <c r="BM253" s="146">
        <f t="shared" si="48"/>
        <v>0</v>
      </c>
      <c r="BN253" s="146">
        <f t="shared" si="48"/>
        <v>1</v>
      </c>
      <c r="BO253" s="146">
        <f t="shared" si="48"/>
        <v>4417.7</v>
      </c>
      <c r="BP253" s="146">
        <f t="shared" si="48"/>
        <v>2632.7</v>
      </c>
      <c r="BQ253" s="146">
        <f t="shared" si="48"/>
        <v>0</v>
      </c>
      <c r="BR253" s="146">
        <f t="shared" si="48"/>
        <v>0</v>
      </c>
      <c r="BS253" s="146">
        <f t="shared" si="48"/>
        <v>0</v>
      </c>
      <c r="BT253" s="146">
        <f t="shared" si="48"/>
        <v>0</v>
      </c>
      <c r="BU253" s="146">
        <f t="shared" si="48"/>
        <v>2</v>
      </c>
      <c r="BV253" s="146">
        <f t="shared" si="48"/>
        <v>663</v>
      </c>
      <c r="BW253" s="146">
        <f aca="true" t="shared" si="49" ref="BW253:DI253">BW9</f>
        <v>6863</v>
      </c>
      <c r="BX253" s="146">
        <f t="shared" si="49"/>
        <v>0</v>
      </c>
      <c r="BY253" s="146">
        <f t="shared" si="49"/>
        <v>0</v>
      </c>
      <c r="BZ253" s="146">
        <f t="shared" si="49"/>
        <v>0</v>
      </c>
      <c r="CA253" s="146">
        <f t="shared" si="49"/>
        <v>0</v>
      </c>
      <c r="CB253" s="146">
        <f t="shared" si="49"/>
        <v>0</v>
      </c>
      <c r="CC253" s="146">
        <f t="shared" si="49"/>
        <v>0</v>
      </c>
      <c r="CD253" s="146">
        <f t="shared" si="49"/>
        <v>0</v>
      </c>
      <c r="CE253" s="146">
        <f t="shared" si="49"/>
        <v>0</v>
      </c>
      <c r="CF253" s="146">
        <f t="shared" si="49"/>
        <v>0</v>
      </c>
      <c r="CG253" s="146">
        <f t="shared" si="49"/>
        <v>0</v>
      </c>
      <c r="CH253" s="146">
        <f t="shared" si="49"/>
        <v>0</v>
      </c>
      <c r="CI253" s="147">
        <f t="shared" si="49"/>
        <v>517.7</v>
      </c>
      <c r="CJ253" s="146">
        <f t="shared" si="49"/>
        <v>1646</v>
      </c>
      <c r="CK253" s="146">
        <f t="shared" si="49"/>
        <v>940</v>
      </c>
      <c r="CL253" s="146">
        <f t="shared" si="49"/>
        <v>1</v>
      </c>
      <c r="CM253" s="146">
        <f t="shared" si="49"/>
        <v>7246</v>
      </c>
      <c r="CN253" s="146" t="str">
        <f t="shared" si="49"/>
        <v>0</v>
      </c>
      <c r="CO253" s="146">
        <f t="shared" si="49"/>
        <v>0</v>
      </c>
      <c r="CP253" s="146">
        <f t="shared" si="49"/>
        <v>1</v>
      </c>
      <c r="CQ253" s="146">
        <f t="shared" si="49"/>
        <v>7246</v>
      </c>
      <c r="CR253" s="160">
        <f t="shared" si="49"/>
        <v>26</v>
      </c>
      <c r="CS253" s="146">
        <f t="shared" si="49"/>
        <v>1</v>
      </c>
      <c r="CT253" s="146">
        <f t="shared" si="49"/>
        <v>0</v>
      </c>
      <c r="CU253" s="146">
        <f t="shared" si="49"/>
        <v>0</v>
      </c>
      <c r="CV253" s="146">
        <f t="shared" si="49"/>
        <v>0</v>
      </c>
      <c r="CW253" s="146">
        <f t="shared" si="49"/>
        <v>2</v>
      </c>
      <c r="CX253" s="146">
        <f t="shared" si="49"/>
        <v>0</v>
      </c>
      <c r="CY253" s="146">
        <f t="shared" si="49"/>
        <v>0</v>
      </c>
      <c r="CZ253" s="146">
        <f t="shared" si="49"/>
        <v>0</v>
      </c>
      <c r="DA253" s="146">
        <f t="shared" si="49"/>
        <v>0</v>
      </c>
      <c r="DB253" s="146">
        <f t="shared" si="49"/>
        <v>59</v>
      </c>
      <c r="DC253" s="146">
        <f t="shared" si="49"/>
        <v>24</v>
      </c>
      <c r="DD253" s="146">
        <f t="shared" si="49"/>
        <v>24</v>
      </c>
      <c r="DE253" s="146">
        <f t="shared" si="49"/>
        <v>2</v>
      </c>
      <c r="DF253" s="146">
        <f t="shared" si="49"/>
        <v>1</v>
      </c>
      <c r="DG253" s="146">
        <f t="shared" si="49"/>
        <v>1</v>
      </c>
      <c r="DH253" s="161" t="str">
        <f t="shared" si="49"/>
        <v>0</v>
      </c>
      <c r="DI253" s="161" t="str">
        <f t="shared" si="49"/>
        <v>0</v>
      </c>
      <c r="DJ253" s="162">
        <f t="shared" si="39"/>
        <v>4.244290015166222</v>
      </c>
    </row>
    <row r="254" spans="2:114" s="2" customFormat="1" ht="12.75">
      <c r="B254" s="156"/>
      <c r="C254" s="157" t="s">
        <v>13</v>
      </c>
      <c r="D254" s="144"/>
      <c r="E254" s="145"/>
      <c r="F254" s="145"/>
      <c r="G254" s="146">
        <f>G8+G10+G12+G13+G15+G17+G20+G21+G23+G26+G27+G28+G36+G39+G40</f>
        <v>15</v>
      </c>
      <c r="H254" s="158">
        <v>9</v>
      </c>
      <c r="I254" s="159"/>
      <c r="J254" s="146">
        <f aca="true" t="shared" si="50" ref="J254:AP254">J8+J10+J12+J13+J15+J17+J20+J21+J23+J26+J27+J28+J36+J39+J40</f>
        <v>598841</v>
      </c>
      <c r="K254" s="146">
        <f t="shared" si="50"/>
        <v>23176</v>
      </c>
      <c r="L254" s="146"/>
      <c r="M254" s="146">
        <f t="shared" si="50"/>
        <v>0</v>
      </c>
      <c r="N254" s="146">
        <f t="shared" si="50"/>
        <v>22166</v>
      </c>
      <c r="O254" s="146">
        <f t="shared" si="50"/>
        <v>2105</v>
      </c>
      <c r="P254" s="146">
        <f t="shared" si="50"/>
        <v>5539</v>
      </c>
      <c r="Q254" s="146">
        <f t="shared" si="50"/>
        <v>2146</v>
      </c>
      <c r="R254" s="146">
        <f t="shared" si="50"/>
        <v>4811</v>
      </c>
      <c r="S254" s="163">
        <f t="shared" si="50"/>
        <v>133435.16</v>
      </c>
      <c r="T254" s="146">
        <f t="shared" si="50"/>
        <v>82737.59999999999</v>
      </c>
      <c r="U254" s="146">
        <f t="shared" si="50"/>
        <v>1928</v>
      </c>
      <c r="V254" s="146">
        <f t="shared" si="50"/>
        <v>121769.96</v>
      </c>
      <c r="W254" s="146">
        <f t="shared" si="50"/>
        <v>75428.20000000004</v>
      </c>
      <c r="X254" s="146">
        <f t="shared" si="50"/>
        <v>177</v>
      </c>
      <c r="Y254" s="146">
        <f t="shared" si="50"/>
        <v>11665.199999999979</v>
      </c>
      <c r="Z254" s="146">
        <f t="shared" si="50"/>
        <v>7309.399999999968</v>
      </c>
      <c r="AA254" s="146">
        <f t="shared" si="50"/>
        <v>0</v>
      </c>
      <c r="AB254" s="146">
        <f t="shared" si="50"/>
        <v>0</v>
      </c>
      <c r="AC254" s="146">
        <f t="shared" si="50"/>
        <v>0</v>
      </c>
      <c r="AD254" s="163">
        <f t="shared" si="50"/>
        <v>586.9000000000001</v>
      </c>
      <c r="AE254" s="146">
        <f t="shared" si="50"/>
        <v>299.6</v>
      </c>
      <c r="AF254" s="146">
        <f t="shared" si="50"/>
        <v>0</v>
      </c>
      <c r="AG254" s="146">
        <f t="shared" si="50"/>
        <v>299.6</v>
      </c>
      <c r="AH254" s="146">
        <f t="shared" si="50"/>
        <v>287.29999999999995</v>
      </c>
      <c r="AI254" s="146">
        <f t="shared" si="50"/>
        <v>0</v>
      </c>
      <c r="AJ254" s="146">
        <f t="shared" si="50"/>
        <v>134022.06</v>
      </c>
      <c r="AK254" s="146">
        <f t="shared" si="50"/>
        <v>0</v>
      </c>
      <c r="AL254" s="146">
        <f t="shared" si="50"/>
        <v>59</v>
      </c>
      <c r="AM254" s="146">
        <f t="shared" si="50"/>
        <v>59</v>
      </c>
      <c r="AN254" s="146">
        <f t="shared" si="50"/>
        <v>58</v>
      </c>
      <c r="AO254" s="146">
        <f t="shared" si="50"/>
        <v>0</v>
      </c>
      <c r="AP254" s="146">
        <f t="shared" si="50"/>
        <v>59</v>
      </c>
      <c r="AQ254" s="146">
        <f aca="true" t="shared" si="51" ref="AQ254:BV254">AQ8+AQ10+AQ12+AQ13+AQ15+AQ17+AQ20+AQ21+AQ23+AQ26+AQ27+AQ28+AQ36+AQ39+AQ40</f>
        <v>107890</v>
      </c>
      <c r="AR254" s="146">
        <f t="shared" si="51"/>
        <v>2915</v>
      </c>
      <c r="AS254" s="146">
        <f t="shared" si="51"/>
        <v>8759</v>
      </c>
      <c r="AT254" s="146">
        <f t="shared" si="51"/>
        <v>6616</v>
      </c>
      <c r="AU254" s="146">
        <f t="shared" si="51"/>
        <v>8437</v>
      </c>
      <c r="AV254" s="146">
        <f t="shared" si="51"/>
        <v>216509</v>
      </c>
      <c r="AW254" s="146">
        <f t="shared" si="51"/>
        <v>105070</v>
      </c>
      <c r="AX254" s="146">
        <f t="shared" si="51"/>
        <v>111439</v>
      </c>
      <c r="AY254" s="146">
        <f t="shared" si="51"/>
        <v>52630</v>
      </c>
      <c r="AZ254" s="146">
        <f t="shared" si="51"/>
        <v>4557</v>
      </c>
      <c r="BA254" s="146">
        <f t="shared" si="51"/>
        <v>21674</v>
      </c>
      <c r="BB254" s="146">
        <f t="shared" si="51"/>
        <v>21674</v>
      </c>
      <c r="BC254" s="146">
        <f t="shared" si="51"/>
        <v>1003</v>
      </c>
      <c r="BD254" s="146">
        <f t="shared" si="51"/>
        <v>118</v>
      </c>
      <c r="BE254" s="146">
        <f t="shared" si="51"/>
        <v>7561</v>
      </c>
      <c r="BF254" s="146">
        <f t="shared" si="51"/>
        <v>19746</v>
      </c>
      <c r="BG254" s="146">
        <f t="shared" si="51"/>
        <v>2</v>
      </c>
      <c r="BH254" s="146">
        <f t="shared" si="51"/>
        <v>224200</v>
      </c>
      <c r="BI254" s="146">
        <f t="shared" si="51"/>
        <v>96465</v>
      </c>
      <c r="BJ254" s="146">
        <f t="shared" si="51"/>
        <v>4265</v>
      </c>
      <c r="BK254" s="146">
        <f t="shared" si="51"/>
        <v>0</v>
      </c>
      <c r="BL254" s="146">
        <f t="shared" si="51"/>
        <v>0</v>
      </c>
      <c r="BM254" s="146">
        <f t="shared" si="51"/>
        <v>0</v>
      </c>
      <c r="BN254" s="146">
        <f t="shared" si="51"/>
        <v>12</v>
      </c>
      <c r="BO254" s="146">
        <f t="shared" si="51"/>
        <v>85767.45999999999</v>
      </c>
      <c r="BP254" s="146">
        <f t="shared" si="51"/>
        <v>53504.5</v>
      </c>
      <c r="BQ254" s="146">
        <f t="shared" si="51"/>
        <v>3</v>
      </c>
      <c r="BR254" s="146">
        <f t="shared" si="51"/>
        <v>47667.700000000004</v>
      </c>
      <c r="BS254" s="146">
        <f t="shared" si="51"/>
        <v>29233.1</v>
      </c>
      <c r="BT254" s="146">
        <f t="shared" si="51"/>
        <v>0</v>
      </c>
      <c r="BU254" s="146">
        <f t="shared" si="51"/>
        <v>44</v>
      </c>
      <c r="BV254" s="146">
        <f t="shared" si="51"/>
        <v>0</v>
      </c>
      <c r="BW254" s="146">
        <f aca="true" t="shared" si="52" ref="BW254:DI254">BW8+BW10+BW12+BW13+BW15+BW17+BW20+BW21+BW23+BW26+BW27+BW28+BW36+BW39+BW40</f>
        <v>0</v>
      </c>
      <c r="BX254" s="146">
        <f t="shared" si="52"/>
        <v>0</v>
      </c>
      <c r="BY254" s="146">
        <f t="shared" si="52"/>
        <v>10830</v>
      </c>
      <c r="BZ254" s="146">
        <f t="shared" si="52"/>
        <v>0</v>
      </c>
      <c r="CA254" s="146">
        <f t="shared" si="52"/>
        <v>0</v>
      </c>
      <c r="CB254" s="146">
        <f t="shared" si="52"/>
        <v>0</v>
      </c>
      <c r="CC254" s="146">
        <f t="shared" si="52"/>
        <v>0</v>
      </c>
      <c r="CD254" s="146">
        <f t="shared" si="52"/>
        <v>0</v>
      </c>
      <c r="CE254" s="146">
        <f t="shared" si="52"/>
        <v>0</v>
      </c>
      <c r="CF254" s="146">
        <f t="shared" si="52"/>
        <v>0</v>
      </c>
      <c r="CG254" s="146">
        <f t="shared" si="52"/>
        <v>0</v>
      </c>
      <c r="CH254" s="146">
        <f t="shared" si="52"/>
        <v>0</v>
      </c>
      <c r="CI254" s="147">
        <f t="shared" si="52"/>
        <v>23219.140000000003</v>
      </c>
      <c r="CJ254" s="146">
        <f t="shared" si="52"/>
        <v>50900</v>
      </c>
      <c r="CK254" s="146">
        <f t="shared" si="52"/>
        <v>27724</v>
      </c>
      <c r="CL254" s="146">
        <f t="shared" si="52"/>
        <v>5</v>
      </c>
      <c r="CM254" s="146">
        <f t="shared" si="52"/>
        <v>105070</v>
      </c>
      <c r="CN254" s="146">
        <f t="shared" si="52"/>
        <v>10</v>
      </c>
      <c r="CO254" s="146">
        <f t="shared" si="52"/>
        <v>111439</v>
      </c>
      <c r="CP254" s="146">
        <f t="shared" si="52"/>
        <v>15</v>
      </c>
      <c r="CQ254" s="146">
        <f t="shared" si="52"/>
        <v>216509</v>
      </c>
      <c r="CR254" s="160">
        <f t="shared" si="52"/>
        <v>408</v>
      </c>
      <c r="CS254" s="146">
        <f t="shared" si="52"/>
        <v>15</v>
      </c>
      <c r="CT254" s="146">
        <f t="shared" si="52"/>
        <v>2</v>
      </c>
      <c r="CU254" s="146">
        <f t="shared" si="52"/>
        <v>2</v>
      </c>
      <c r="CV254" s="146">
        <f t="shared" si="52"/>
        <v>2</v>
      </c>
      <c r="CW254" s="146">
        <f t="shared" si="52"/>
        <v>44</v>
      </c>
      <c r="CX254" s="146">
        <f t="shared" si="52"/>
        <v>0</v>
      </c>
      <c r="CY254" s="146">
        <f t="shared" si="52"/>
        <v>0</v>
      </c>
      <c r="CZ254" s="146">
        <f t="shared" si="52"/>
        <v>0</v>
      </c>
      <c r="DA254" s="146">
        <f t="shared" si="52"/>
        <v>5</v>
      </c>
      <c r="DB254" s="146">
        <f t="shared" si="52"/>
        <v>1973</v>
      </c>
      <c r="DC254" s="146">
        <f t="shared" si="52"/>
        <v>999</v>
      </c>
      <c r="DD254" s="146">
        <f t="shared" si="52"/>
        <v>999</v>
      </c>
      <c r="DE254" s="146">
        <f t="shared" si="52"/>
        <v>102</v>
      </c>
      <c r="DF254" s="146">
        <f t="shared" si="52"/>
        <v>37</v>
      </c>
      <c r="DG254" s="146">
        <f t="shared" si="52"/>
        <v>37</v>
      </c>
      <c r="DH254" s="161">
        <f t="shared" si="52"/>
        <v>0</v>
      </c>
      <c r="DI254" s="161">
        <f t="shared" si="52"/>
        <v>0</v>
      </c>
      <c r="DJ254" s="162">
        <f t="shared" si="39"/>
        <v>8.742223563864261</v>
      </c>
    </row>
    <row r="255" spans="2:114" s="2" customFormat="1" ht="12.75">
      <c r="B255" s="156"/>
      <c r="C255" s="157" t="s">
        <v>14</v>
      </c>
      <c r="D255" s="144"/>
      <c r="E255" s="145"/>
      <c r="F255" s="145"/>
      <c r="G255" s="146">
        <f>G41</f>
        <v>1</v>
      </c>
      <c r="H255" s="158">
        <v>12</v>
      </c>
      <c r="I255" s="159"/>
      <c r="J255" s="146">
        <f aca="true" t="shared" si="53" ref="J255:AP255">J41</f>
        <v>53895</v>
      </c>
      <c r="K255" s="146">
        <f t="shared" si="53"/>
        <v>2835</v>
      </c>
      <c r="L255" s="146"/>
      <c r="M255" s="146">
        <f t="shared" si="53"/>
        <v>0</v>
      </c>
      <c r="N255" s="146">
        <f t="shared" si="53"/>
        <v>2630</v>
      </c>
      <c r="O255" s="146">
        <f t="shared" si="53"/>
        <v>132</v>
      </c>
      <c r="P255" s="146">
        <f t="shared" si="53"/>
        <v>220</v>
      </c>
      <c r="Q255" s="146">
        <f t="shared" si="53"/>
        <v>134</v>
      </c>
      <c r="R255" s="146">
        <f t="shared" si="53"/>
        <v>206</v>
      </c>
      <c r="S255" s="163">
        <f t="shared" si="53"/>
        <v>6466.5</v>
      </c>
      <c r="T255" s="146">
        <f t="shared" si="53"/>
        <v>3480.2</v>
      </c>
      <c r="U255" s="146">
        <f t="shared" si="53"/>
        <v>120</v>
      </c>
      <c r="V255" s="146">
        <f t="shared" si="53"/>
        <v>5880.500000000002</v>
      </c>
      <c r="W255" s="146">
        <f t="shared" si="53"/>
        <v>3163.8</v>
      </c>
      <c r="X255" s="146">
        <f t="shared" si="53"/>
        <v>12</v>
      </c>
      <c r="Y255" s="146">
        <f t="shared" si="53"/>
        <v>585.9999999999982</v>
      </c>
      <c r="Z255" s="146">
        <f t="shared" si="53"/>
        <v>316.39999999999964</v>
      </c>
      <c r="AA255" s="146">
        <f t="shared" si="53"/>
        <v>0</v>
      </c>
      <c r="AB255" s="146">
        <f t="shared" si="53"/>
        <v>0</v>
      </c>
      <c r="AC255" s="146">
        <f t="shared" si="53"/>
        <v>0</v>
      </c>
      <c r="AD255" s="163">
        <f t="shared" si="53"/>
        <v>1377.5</v>
      </c>
      <c r="AE255" s="146">
        <f t="shared" si="53"/>
        <v>1377.5</v>
      </c>
      <c r="AF255" s="146">
        <f t="shared" si="53"/>
        <v>0</v>
      </c>
      <c r="AG255" s="146">
        <f t="shared" si="53"/>
        <v>1377.5</v>
      </c>
      <c r="AH255" s="146">
        <f t="shared" si="53"/>
        <v>0</v>
      </c>
      <c r="AI255" s="146">
        <f t="shared" si="53"/>
        <v>0</v>
      </c>
      <c r="AJ255" s="146">
        <f t="shared" si="53"/>
        <v>7844</v>
      </c>
      <c r="AK255" s="146">
        <f t="shared" si="53"/>
        <v>0</v>
      </c>
      <c r="AL255" s="146">
        <f t="shared" si="53"/>
        <v>4</v>
      </c>
      <c r="AM255" s="146">
        <f t="shared" si="53"/>
        <v>2</v>
      </c>
      <c r="AN255" s="146">
        <f t="shared" si="53"/>
        <v>2</v>
      </c>
      <c r="AO255" s="146">
        <f t="shared" si="53"/>
        <v>0</v>
      </c>
      <c r="AP255" s="146">
        <f t="shared" si="53"/>
        <v>2</v>
      </c>
      <c r="AQ255" s="146">
        <f aca="true" t="shared" si="54" ref="AQ255:BV255">AQ41</f>
        <v>11200</v>
      </c>
      <c r="AR255" s="146">
        <f t="shared" si="54"/>
        <v>0</v>
      </c>
      <c r="AS255" s="146">
        <f t="shared" si="54"/>
        <v>1120</v>
      </c>
      <c r="AT255" s="146">
        <f t="shared" si="54"/>
        <v>512</v>
      </c>
      <c r="AU255" s="146">
        <f t="shared" si="54"/>
        <v>312</v>
      </c>
      <c r="AV255" s="146">
        <f t="shared" si="54"/>
        <v>17584</v>
      </c>
      <c r="AW255" s="146">
        <f t="shared" si="54"/>
        <v>0</v>
      </c>
      <c r="AX255" s="146">
        <f t="shared" si="54"/>
        <v>17584</v>
      </c>
      <c r="AY255" s="146">
        <f t="shared" si="54"/>
        <v>0</v>
      </c>
      <c r="AZ255" s="146">
        <f t="shared" si="54"/>
        <v>307</v>
      </c>
      <c r="BA255" s="146">
        <f t="shared" si="54"/>
        <v>2448</v>
      </c>
      <c r="BB255" s="146">
        <f t="shared" si="54"/>
        <v>2448</v>
      </c>
      <c r="BC255" s="146">
        <f t="shared" si="54"/>
        <v>0</v>
      </c>
      <c r="BD255" s="146">
        <f t="shared" si="54"/>
        <v>4</v>
      </c>
      <c r="BE255" s="146">
        <f t="shared" si="54"/>
        <v>352</v>
      </c>
      <c r="BF255" s="146">
        <f t="shared" si="54"/>
        <v>1146</v>
      </c>
      <c r="BG255" s="146">
        <f t="shared" si="54"/>
        <v>0</v>
      </c>
      <c r="BH255" s="146">
        <f t="shared" si="54"/>
        <v>15200</v>
      </c>
      <c r="BI255" s="146">
        <f t="shared" si="54"/>
        <v>6540</v>
      </c>
      <c r="BJ255" s="146">
        <f t="shared" si="54"/>
        <v>240</v>
      </c>
      <c r="BK255" s="146">
        <f t="shared" si="54"/>
        <v>1</v>
      </c>
      <c r="BL255" s="146">
        <f t="shared" si="54"/>
        <v>6466.5</v>
      </c>
      <c r="BM255" s="146">
        <f t="shared" si="54"/>
        <v>3480.2</v>
      </c>
      <c r="BN255" s="146">
        <f t="shared" si="54"/>
        <v>0</v>
      </c>
      <c r="BO255" s="146">
        <f t="shared" si="54"/>
        <v>0</v>
      </c>
      <c r="BP255" s="146">
        <f t="shared" si="54"/>
        <v>0</v>
      </c>
      <c r="BQ255" s="146">
        <f t="shared" si="54"/>
        <v>0</v>
      </c>
      <c r="BR255" s="146">
        <f t="shared" si="54"/>
        <v>0</v>
      </c>
      <c r="BS255" s="146">
        <f t="shared" si="54"/>
        <v>0</v>
      </c>
      <c r="BT255" s="146">
        <f t="shared" si="54"/>
        <v>0</v>
      </c>
      <c r="BU255" s="146">
        <f t="shared" si="54"/>
        <v>3</v>
      </c>
      <c r="BV255" s="146">
        <f t="shared" si="54"/>
        <v>2448</v>
      </c>
      <c r="BW255" s="146">
        <f aca="true" t="shared" si="55" ref="BW255:DI255">BW41</f>
        <v>10480</v>
      </c>
      <c r="BX255" s="146">
        <f t="shared" si="55"/>
        <v>0</v>
      </c>
      <c r="BY255" s="146">
        <f t="shared" si="55"/>
        <v>11200</v>
      </c>
      <c r="BZ255" s="146">
        <f t="shared" si="55"/>
        <v>0</v>
      </c>
      <c r="CA255" s="146">
        <f t="shared" si="55"/>
        <v>0</v>
      </c>
      <c r="CB255" s="146">
        <f t="shared" si="55"/>
        <v>0</v>
      </c>
      <c r="CC255" s="146">
        <f t="shared" si="55"/>
        <v>0</v>
      </c>
      <c r="CD255" s="146">
        <f t="shared" si="55"/>
        <v>0</v>
      </c>
      <c r="CE255" s="146">
        <f t="shared" si="55"/>
        <v>0</v>
      </c>
      <c r="CF255" s="146">
        <f t="shared" si="55"/>
        <v>0</v>
      </c>
      <c r="CG255" s="146">
        <f t="shared" si="55"/>
        <v>0</v>
      </c>
      <c r="CH255" s="146">
        <f t="shared" si="55"/>
        <v>0</v>
      </c>
      <c r="CI255" s="147">
        <f t="shared" si="55"/>
        <v>2084.4</v>
      </c>
      <c r="CJ255" s="146">
        <f t="shared" si="55"/>
        <v>6817</v>
      </c>
      <c r="CK255" s="146">
        <f t="shared" si="55"/>
        <v>3982</v>
      </c>
      <c r="CL255" s="146" t="str">
        <f t="shared" si="55"/>
        <v>0</v>
      </c>
      <c r="CM255" s="146">
        <f t="shared" si="55"/>
        <v>0</v>
      </c>
      <c r="CN255" s="146">
        <f t="shared" si="55"/>
        <v>1</v>
      </c>
      <c r="CO255" s="146">
        <f t="shared" si="55"/>
        <v>17584</v>
      </c>
      <c r="CP255" s="146">
        <f t="shared" si="55"/>
        <v>1</v>
      </c>
      <c r="CQ255" s="146">
        <f t="shared" si="55"/>
        <v>17584</v>
      </c>
      <c r="CR255" s="160">
        <f t="shared" si="55"/>
        <v>26</v>
      </c>
      <c r="CS255" s="146">
        <f t="shared" si="55"/>
        <v>1</v>
      </c>
      <c r="CT255" s="146">
        <f t="shared" si="55"/>
        <v>0</v>
      </c>
      <c r="CU255" s="146">
        <f t="shared" si="55"/>
        <v>0</v>
      </c>
      <c r="CV255" s="146">
        <f t="shared" si="55"/>
        <v>0</v>
      </c>
      <c r="CW255" s="146">
        <f t="shared" si="55"/>
        <v>4</v>
      </c>
      <c r="CX255" s="146">
        <f t="shared" si="55"/>
        <v>0</v>
      </c>
      <c r="CY255" s="146">
        <f t="shared" si="55"/>
        <v>0</v>
      </c>
      <c r="CZ255" s="146">
        <f t="shared" si="55"/>
        <v>0</v>
      </c>
      <c r="DA255" s="146">
        <f t="shared" si="55"/>
        <v>0</v>
      </c>
      <c r="DB255" s="146">
        <f t="shared" si="55"/>
        <v>125</v>
      </c>
      <c r="DC255" s="146">
        <f t="shared" si="55"/>
        <v>53</v>
      </c>
      <c r="DD255" s="146">
        <f t="shared" si="55"/>
        <v>53</v>
      </c>
      <c r="DE255" s="146">
        <f t="shared" si="55"/>
        <v>8</v>
      </c>
      <c r="DF255" s="146">
        <f t="shared" si="55"/>
        <v>3</v>
      </c>
      <c r="DG255" s="146">
        <f t="shared" si="55"/>
        <v>3</v>
      </c>
      <c r="DH255" s="161" t="str">
        <f t="shared" si="55"/>
        <v>0</v>
      </c>
      <c r="DI255" s="161" t="str">
        <f t="shared" si="55"/>
        <v>0</v>
      </c>
      <c r="DJ255" s="162">
        <f t="shared" si="39"/>
        <v>9.062089229103815</v>
      </c>
    </row>
    <row r="256" spans="2:114" s="2" customFormat="1" ht="12.75">
      <c r="B256" s="156"/>
      <c r="C256" s="157" t="s">
        <v>17</v>
      </c>
      <c r="D256" s="40"/>
      <c r="E256" s="157"/>
      <c r="F256" s="157"/>
      <c r="G256" s="146">
        <f>G7+G11+G14+G16+G18+G19+G22+G24+G25+G29+G30+G31+G32+G33+G34+G35+G42+G43+G44</f>
        <v>19</v>
      </c>
      <c r="H256" s="164">
        <v>5</v>
      </c>
      <c r="I256" s="142"/>
      <c r="J256" s="146">
        <f aca="true" t="shared" si="56" ref="J256:AP256">J7+J11+J14+J16+J18+J19+J22+J24+J25+J29+J30+J31+J32+J33+J34+J35+J42+J43+J44</f>
        <v>740190</v>
      </c>
      <c r="K256" s="146">
        <f t="shared" si="56"/>
        <v>44560</v>
      </c>
      <c r="L256" s="146"/>
      <c r="M256" s="146">
        <f t="shared" si="56"/>
        <v>55135</v>
      </c>
      <c r="N256" s="146">
        <f t="shared" si="56"/>
        <v>0</v>
      </c>
      <c r="O256" s="146">
        <f t="shared" si="56"/>
        <v>1752</v>
      </c>
      <c r="P256" s="146">
        <f t="shared" si="56"/>
        <v>4459</v>
      </c>
      <c r="Q256" s="146">
        <f t="shared" si="56"/>
        <v>1800</v>
      </c>
      <c r="R256" s="146">
        <f t="shared" si="56"/>
        <v>3465</v>
      </c>
      <c r="S256" s="163">
        <f t="shared" si="56"/>
        <v>126244.39999999998</v>
      </c>
      <c r="T256" s="146">
        <f t="shared" si="56"/>
        <v>75984.01000000001</v>
      </c>
      <c r="U256" s="146">
        <f t="shared" si="56"/>
        <v>1568</v>
      </c>
      <c r="V256" s="146">
        <f t="shared" si="56"/>
        <v>112397.98000000001</v>
      </c>
      <c r="W256" s="146">
        <f t="shared" si="56"/>
        <v>67529.95999999999</v>
      </c>
      <c r="X256" s="146">
        <f t="shared" si="56"/>
        <v>184</v>
      </c>
      <c r="Y256" s="146">
        <f t="shared" si="56"/>
        <v>13846.420000000002</v>
      </c>
      <c r="Z256" s="146">
        <f t="shared" si="56"/>
        <v>8454.050000000003</v>
      </c>
      <c r="AA256" s="146">
        <f t="shared" si="56"/>
        <v>0</v>
      </c>
      <c r="AB256" s="146">
        <f t="shared" si="56"/>
        <v>0</v>
      </c>
      <c r="AC256" s="146">
        <f t="shared" si="56"/>
        <v>0</v>
      </c>
      <c r="AD256" s="163">
        <f t="shared" si="56"/>
        <v>33360.59</v>
      </c>
      <c r="AE256" s="146">
        <f t="shared" si="56"/>
        <v>21254.12</v>
      </c>
      <c r="AF256" s="146">
        <f t="shared" si="56"/>
        <v>0</v>
      </c>
      <c r="AG256" s="146">
        <f t="shared" si="56"/>
        <v>21254.12</v>
      </c>
      <c r="AH256" s="146">
        <f t="shared" si="56"/>
        <v>12106.470000000001</v>
      </c>
      <c r="AI256" s="146">
        <f t="shared" si="56"/>
        <v>0</v>
      </c>
      <c r="AJ256" s="146">
        <f t="shared" si="56"/>
        <v>159604.99000000002</v>
      </c>
      <c r="AK256" s="146">
        <f t="shared" si="56"/>
        <v>0</v>
      </c>
      <c r="AL256" s="146">
        <f t="shared" si="56"/>
        <v>0</v>
      </c>
      <c r="AM256" s="146">
        <f t="shared" si="56"/>
        <v>104</v>
      </c>
      <c r="AN256" s="146">
        <f t="shared" si="56"/>
        <v>0</v>
      </c>
      <c r="AO256" s="146">
        <f t="shared" si="56"/>
        <v>0</v>
      </c>
      <c r="AP256" s="146">
        <f t="shared" si="56"/>
        <v>30</v>
      </c>
      <c r="AQ256" s="146">
        <f aca="true" t="shared" si="57" ref="AQ256:BV256">AQ7+AQ11+AQ14+AQ16+AQ18+AQ19+AQ22+AQ24+AQ25+AQ29+AQ30+AQ31+AQ32+AQ33+AQ34+AQ35+AQ42+AQ43+AQ44</f>
        <v>108627</v>
      </c>
      <c r="AR256" s="146">
        <f t="shared" si="57"/>
        <v>21684</v>
      </c>
      <c r="AS256" s="146">
        <f t="shared" si="57"/>
        <v>9575</v>
      </c>
      <c r="AT256" s="146">
        <f t="shared" si="57"/>
        <v>7959</v>
      </c>
      <c r="AU256" s="146">
        <f t="shared" si="57"/>
        <v>3180</v>
      </c>
      <c r="AV256" s="146">
        <f t="shared" si="57"/>
        <v>103130</v>
      </c>
      <c r="AW256" s="146">
        <f t="shared" si="57"/>
        <v>0</v>
      </c>
      <c r="AX256" s="146">
        <f t="shared" si="57"/>
        <v>103130</v>
      </c>
      <c r="AY256" s="146">
        <f t="shared" si="57"/>
        <v>0</v>
      </c>
      <c r="AZ256" s="146">
        <f t="shared" si="57"/>
        <v>3212</v>
      </c>
      <c r="BA256" s="146">
        <f t="shared" si="57"/>
        <v>43481</v>
      </c>
      <c r="BB256" s="146">
        <f t="shared" si="57"/>
        <v>43481</v>
      </c>
      <c r="BC256" s="146">
        <f t="shared" si="57"/>
        <v>516</v>
      </c>
      <c r="BD256" s="146">
        <f t="shared" si="57"/>
        <v>214</v>
      </c>
      <c r="BE256" s="146">
        <f t="shared" si="57"/>
        <v>6216</v>
      </c>
      <c r="BF256" s="146">
        <f t="shared" si="57"/>
        <v>17286</v>
      </c>
      <c r="BG256" s="146">
        <f t="shared" si="57"/>
        <v>0</v>
      </c>
      <c r="BH256" s="146">
        <f t="shared" si="57"/>
        <v>132643</v>
      </c>
      <c r="BI256" s="146">
        <f t="shared" si="57"/>
        <v>3844</v>
      </c>
      <c r="BJ256" s="146">
        <f t="shared" si="57"/>
        <v>0</v>
      </c>
      <c r="BK256" s="146">
        <f t="shared" si="57"/>
        <v>19</v>
      </c>
      <c r="BL256" s="146">
        <f t="shared" si="57"/>
        <v>126244.39999999998</v>
      </c>
      <c r="BM256" s="146">
        <f t="shared" si="57"/>
        <v>75984.01000000001</v>
      </c>
      <c r="BN256" s="146">
        <f t="shared" si="57"/>
        <v>0</v>
      </c>
      <c r="BO256" s="146">
        <f t="shared" si="57"/>
        <v>0</v>
      </c>
      <c r="BP256" s="146">
        <f t="shared" si="57"/>
        <v>0</v>
      </c>
      <c r="BQ256" s="146">
        <f t="shared" si="57"/>
        <v>0</v>
      </c>
      <c r="BR256" s="146">
        <f t="shared" si="57"/>
        <v>0</v>
      </c>
      <c r="BS256" s="146">
        <f t="shared" si="57"/>
        <v>0</v>
      </c>
      <c r="BT256" s="146">
        <f t="shared" si="57"/>
        <v>0</v>
      </c>
      <c r="BU256" s="146">
        <f t="shared" si="57"/>
        <v>78</v>
      </c>
      <c r="BV256" s="146">
        <f t="shared" si="57"/>
        <v>43481</v>
      </c>
      <c r="BW256" s="146">
        <f aca="true" t="shared" si="58" ref="BW256:DI256">BW7+BW11+BW14+BW16+BW18+BW19+BW22+BW24+BW25+BW29+BW30+BW31+BW32+BW33+BW34+BW35+BW42+BW43+BW44</f>
        <v>118578</v>
      </c>
      <c r="BX256" s="146">
        <f t="shared" si="58"/>
        <v>0</v>
      </c>
      <c r="BY256" s="146">
        <f t="shared" si="58"/>
        <v>108627</v>
      </c>
      <c r="BZ256" s="146">
        <f t="shared" si="58"/>
        <v>0</v>
      </c>
      <c r="CA256" s="146">
        <f t="shared" si="58"/>
        <v>0</v>
      </c>
      <c r="CB256" s="146">
        <f t="shared" si="58"/>
        <v>0</v>
      </c>
      <c r="CC256" s="146">
        <f t="shared" si="58"/>
        <v>0</v>
      </c>
      <c r="CD256" s="146">
        <f t="shared" si="58"/>
        <v>0</v>
      </c>
      <c r="CE256" s="146">
        <f t="shared" si="58"/>
        <v>0</v>
      </c>
      <c r="CF256" s="146">
        <f t="shared" si="58"/>
        <v>0</v>
      </c>
      <c r="CG256" s="146">
        <f t="shared" si="58"/>
        <v>0</v>
      </c>
      <c r="CH256" s="146">
        <f t="shared" si="58"/>
        <v>0</v>
      </c>
      <c r="CI256" s="147">
        <f t="shared" si="58"/>
        <v>13524.490000000002</v>
      </c>
      <c r="CJ256" s="146">
        <f t="shared" si="58"/>
        <v>106808</v>
      </c>
      <c r="CK256" s="146">
        <f t="shared" si="58"/>
        <v>62248</v>
      </c>
      <c r="CL256" s="146">
        <f t="shared" si="58"/>
        <v>0</v>
      </c>
      <c r="CM256" s="146">
        <f t="shared" si="58"/>
        <v>0</v>
      </c>
      <c r="CN256" s="146">
        <f t="shared" si="58"/>
        <v>19</v>
      </c>
      <c r="CO256" s="146">
        <f t="shared" si="58"/>
        <v>103130</v>
      </c>
      <c r="CP256" s="146">
        <f t="shared" si="58"/>
        <v>19</v>
      </c>
      <c r="CQ256" s="146">
        <f t="shared" si="58"/>
        <v>103130</v>
      </c>
      <c r="CR256" s="160">
        <f t="shared" si="58"/>
        <v>779</v>
      </c>
      <c r="CS256" s="146">
        <f t="shared" si="58"/>
        <v>19</v>
      </c>
      <c r="CT256" s="146">
        <f t="shared" si="58"/>
        <v>0</v>
      </c>
      <c r="CU256" s="146">
        <f t="shared" si="58"/>
        <v>0</v>
      </c>
      <c r="CV256" s="146">
        <f t="shared" si="58"/>
        <v>0</v>
      </c>
      <c r="CW256" s="146">
        <f t="shared" si="58"/>
        <v>45</v>
      </c>
      <c r="CX256" s="146">
        <f t="shared" si="58"/>
        <v>0</v>
      </c>
      <c r="CY256" s="146">
        <f t="shared" si="58"/>
        <v>0</v>
      </c>
      <c r="CZ256" s="146">
        <f t="shared" si="58"/>
        <v>0</v>
      </c>
      <c r="DA256" s="146">
        <f t="shared" si="58"/>
        <v>0</v>
      </c>
      <c r="DB256" s="146">
        <f t="shared" si="58"/>
        <v>1530</v>
      </c>
      <c r="DC256" s="146">
        <f t="shared" si="58"/>
        <v>483</v>
      </c>
      <c r="DD256" s="146">
        <f t="shared" si="58"/>
        <v>483</v>
      </c>
      <c r="DE256" s="146">
        <f t="shared" si="58"/>
        <v>102</v>
      </c>
      <c r="DF256" s="146">
        <f t="shared" si="58"/>
        <v>19</v>
      </c>
      <c r="DG256" s="146">
        <f t="shared" si="58"/>
        <v>19</v>
      </c>
      <c r="DH256" s="161">
        <f t="shared" si="58"/>
        <v>0</v>
      </c>
      <c r="DI256" s="161">
        <f t="shared" si="58"/>
        <v>0</v>
      </c>
      <c r="DJ256" s="162">
        <f t="shared" si="39"/>
        <v>10.96794788521313</v>
      </c>
    </row>
    <row r="257" spans="2:114" s="2" customFormat="1" ht="12.75">
      <c r="B257" s="156"/>
      <c r="C257" s="40" t="s">
        <v>18</v>
      </c>
      <c r="D257" s="40"/>
      <c r="E257" s="40"/>
      <c r="F257" s="40"/>
      <c r="G257" s="165">
        <f>G45+G46+G47+G48+G49+G50+G51</f>
        <v>7</v>
      </c>
      <c r="H257" s="166">
        <v>9</v>
      </c>
      <c r="I257" s="156"/>
      <c r="J257" s="165">
        <f aca="true" t="shared" si="59" ref="J257:AP257">J45+J46+J47+J48+J49+J50+J51</f>
        <v>203296</v>
      </c>
      <c r="K257" s="165">
        <f t="shared" si="59"/>
        <v>8443</v>
      </c>
      <c r="L257" s="165"/>
      <c r="M257" s="165">
        <f t="shared" si="59"/>
        <v>9885</v>
      </c>
      <c r="N257" s="165">
        <f t="shared" si="59"/>
        <v>0</v>
      </c>
      <c r="O257" s="165">
        <f t="shared" si="59"/>
        <v>2391</v>
      </c>
      <c r="P257" s="165">
        <f t="shared" si="59"/>
        <v>2391</v>
      </c>
      <c r="Q257" s="165">
        <f t="shared" si="59"/>
        <v>2134</v>
      </c>
      <c r="R257" s="165">
        <f t="shared" si="59"/>
        <v>2979</v>
      </c>
      <c r="S257" s="167">
        <f t="shared" si="59"/>
        <v>45857.02</v>
      </c>
      <c r="T257" s="165">
        <f t="shared" si="59"/>
        <v>33032.52</v>
      </c>
      <c r="U257" s="165">
        <f t="shared" si="59"/>
        <v>1199</v>
      </c>
      <c r="V257" s="165">
        <f t="shared" si="59"/>
        <v>23362.09</v>
      </c>
      <c r="W257" s="165">
        <f t="shared" si="59"/>
        <v>16880.9</v>
      </c>
      <c r="X257" s="165">
        <f t="shared" si="59"/>
        <v>1192</v>
      </c>
      <c r="Y257" s="165">
        <f t="shared" si="59"/>
        <v>22494.930000000004</v>
      </c>
      <c r="Z257" s="165">
        <f t="shared" si="59"/>
        <v>16151.619999999994</v>
      </c>
      <c r="AA257" s="165">
        <f t="shared" si="59"/>
        <v>0</v>
      </c>
      <c r="AB257" s="165">
        <f t="shared" si="59"/>
        <v>0</v>
      </c>
      <c r="AC257" s="165">
        <f t="shared" si="59"/>
        <v>0</v>
      </c>
      <c r="AD257" s="165">
        <f t="shared" si="59"/>
        <v>602.05</v>
      </c>
      <c r="AE257" s="165">
        <f t="shared" si="59"/>
        <v>602.05</v>
      </c>
      <c r="AF257" s="165">
        <f t="shared" si="59"/>
        <v>0</v>
      </c>
      <c r="AG257" s="165">
        <f t="shared" si="59"/>
        <v>602.05</v>
      </c>
      <c r="AH257" s="165">
        <f t="shared" si="59"/>
        <v>0</v>
      </c>
      <c r="AI257" s="165">
        <f t="shared" si="59"/>
        <v>0</v>
      </c>
      <c r="AJ257" s="165">
        <f t="shared" si="59"/>
        <v>46459.07000000001</v>
      </c>
      <c r="AK257" s="165">
        <f t="shared" si="59"/>
        <v>0</v>
      </c>
      <c r="AL257" s="165">
        <f t="shared" si="59"/>
        <v>14</v>
      </c>
      <c r="AM257" s="165">
        <f t="shared" si="59"/>
        <v>14</v>
      </c>
      <c r="AN257" s="165">
        <f t="shared" si="59"/>
        <v>7</v>
      </c>
      <c r="AO257" s="165">
        <f t="shared" si="59"/>
        <v>0</v>
      </c>
      <c r="AP257" s="165">
        <f t="shared" si="59"/>
        <v>7</v>
      </c>
      <c r="AQ257" s="165">
        <f aca="true" t="shared" si="60" ref="AQ257:BV257">AQ45+AQ46+AQ47+AQ48+AQ49+AQ50+AQ51</f>
        <v>31808</v>
      </c>
      <c r="AR257" s="165">
        <f t="shared" si="60"/>
        <v>0</v>
      </c>
      <c r="AS257" s="165">
        <f t="shared" si="60"/>
        <v>2082</v>
      </c>
      <c r="AT257" s="165">
        <f t="shared" si="60"/>
        <v>1721</v>
      </c>
      <c r="AU257" s="165">
        <f t="shared" si="60"/>
        <v>532</v>
      </c>
      <c r="AV257" s="165">
        <f t="shared" si="60"/>
        <v>50766</v>
      </c>
      <c r="AW257" s="165">
        <f t="shared" si="60"/>
        <v>0</v>
      </c>
      <c r="AX257" s="165">
        <f t="shared" si="60"/>
        <v>50766</v>
      </c>
      <c r="AY257" s="165">
        <f t="shared" si="60"/>
        <v>23005</v>
      </c>
      <c r="AZ257" s="165">
        <f t="shared" si="60"/>
        <v>1686</v>
      </c>
      <c r="BA257" s="165">
        <f t="shared" si="60"/>
        <v>8197</v>
      </c>
      <c r="BB257" s="165">
        <f t="shared" si="60"/>
        <v>8197</v>
      </c>
      <c r="BC257" s="165">
        <f t="shared" si="60"/>
        <v>238</v>
      </c>
      <c r="BD257" s="165">
        <f t="shared" si="60"/>
        <v>427</v>
      </c>
      <c r="BE257" s="165">
        <f t="shared" si="60"/>
        <v>2573</v>
      </c>
      <c r="BF257" s="165">
        <f t="shared" si="60"/>
        <v>7574</v>
      </c>
      <c r="BG257" s="165">
        <f t="shared" si="60"/>
        <v>7</v>
      </c>
      <c r="BH257" s="165">
        <f t="shared" si="60"/>
        <v>119000</v>
      </c>
      <c r="BI257" s="165">
        <f t="shared" si="60"/>
        <v>4970</v>
      </c>
      <c r="BJ257" s="165">
        <f t="shared" si="60"/>
        <v>1400</v>
      </c>
      <c r="BK257" s="165">
        <f t="shared" si="60"/>
        <v>0</v>
      </c>
      <c r="BL257" s="165">
        <f t="shared" si="60"/>
        <v>0</v>
      </c>
      <c r="BM257" s="165">
        <f t="shared" si="60"/>
        <v>0</v>
      </c>
      <c r="BN257" s="165">
        <f t="shared" si="60"/>
        <v>7</v>
      </c>
      <c r="BO257" s="165">
        <f t="shared" si="60"/>
        <v>45857.02</v>
      </c>
      <c r="BP257" s="165">
        <f t="shared" si="60"/>
        <v>33032.52</v>
      </c>
      <c r="BQ257" s="165">
        <f t="shared" si="60"/>
        <v>0</v>
      </c>
      <c r="BR257" s="165">
        <f t="shared" si="60"/>
        <v>0</v>
      </c>
      <c r="BS257" s="165">
        <f t="shared" si="60"/>
        <v>0</v>
      </c>
      <c r="BT257" s="165">
        <f t="shared" si="60"/>
        <v>0</v>
      </c>
      <c r="BU257" s="165">
        <f t="shared" si="60"/>
        <v>0</v>
      </c>
      <c r="BV257" s="165">
        <f t="shared" si="60"/>
        <v>0</v>
      </c>
      <c r="BW257" s="165">
        <f aca="true" t="shared" si="61" ref="BW257:DI257">BW45+BW46+BW47+BW48+BW49+BW50+BW51</f>
        <v>0</v>
      </c>
      <c r="BX257" s="165">
        <f t="shared" si="61"/>
        <v>0</v>
      </c>
      <c r="BY257" s="165">
        <f t="shared" si="61"/>
        <v>0</v>
      </c>
      <c r="BZ257" s="165">
        <f t="shared" si="61"/>
        <v>0</v>
      </c>
      <c r="CA257" s="165">
        <f t="shared" si="61"/>
        <v>0</v>
      </c>
      <c r="CB257" s="165">
        <f t="shared" si="61"/>
        <v>0</v>
      </c>
      <c r="CC257" s="165">
        <f t="shared" si="61"/>
        <v>0</v>
      </c>
      <c r="CD257" s="165">
        <f t="shared" si="61"/>
        <v>0</v>
      </c>
      <c r="CE257" s="165">
        <f t="shared" si="61"/>
        <v>0</v>
      </c>
      <c r="CF257" s="165">
        <f t="shared" si="61"/>
        <v>0</v>
      </c>
      <c r="CG257" s="165">
        <f t="shared" si="61"/>
        <v>0</v>
      </c>
      <c r="CH257" s="165">
        <f t="shared" si="61"/>
        <v>0</v>
      </c>
      <c r="CI257" s="168">
        <f t="shared" si="61"/>
        <v>12900.880000000001</v>
      </c>
      <c r="CJ257" s="165">
        <f t="shared" si="61"/>
        <v>21269</v>
      </c>
      <c r="CK257" s="165">
        <f t="shared" si="61"/>
        <v>12826</v>
      </c>
      <c r="CL257" s="165">
        <f t="shared" si="61"/>
        <v>0</v>
      </c>
      <c r="CM257" s="165">
        <f t="shared" si="61"/>
        <v>0</v>
      </c>
      <c r="CN257" s="165">
        <f t="shared" si="61"/>
        <v>7</v>
      </c>
      <c r="CO257" s="165">
        <f t="shared" si="61"/>
        <v>50766</v>
      </c>
      <c r="CP257" s="165">
        <f t="shared" si="61"/>
        <v>7</v>
      </c>
      <c r="CQ257" s="165">
        <f t="shared" si="61"/>
        <v>50766</v>
      </c>
      <c r="CR257" s="169">
        <f t="shared" si="61"/>
        <v>497</v>
      </c>
      <c r="CS257" s="165">
        <f t="shared" si="61"/>
        <v>7</v>
      </c>
      <c r="CT257" s="165">
        <f t="shared" si="61"/>
        <v>0</v>
      </c>
      <c r="CU257" s="165">
        <f t="shared" si="61"/>
        <v>0</v>
      </c>
      <c r="CV257" s="165">
        <f t="shared" si="61"/>
        <v>5</v>
      </c>
      <c r="CW257" s="165">
        <f t="shared" si="61"/>
        <v>14</v>
      </c>
      <c r="CX257" s="165">
        <f t="shared" si="61"/>
        <v>0</v>
      </c>
      <c r="CY257" s="165">
        <f t="shared" si="61"/>
        <v>0</v>
      </c>
      <c r="CZ257" s="165">
        <f t="shared" si="61"/>
        <v>5</v>
      </c>
      <c r="DA257" s="165">
        <f t="shared" si="61"/>
        <v>0</v>
      </c>
      <c r="DB257" s="165">
        <f t="shared" si="61"/>
        <v>804</v>
      </c>
      <c r="DC257" s="165">
        <f t="shared" si="61"/>
        <v>357</v>
      </c>
      <c r="DD257" s="165">
        <f t="shared" si="61"/>
        <v>357</v>
      </c>
      <c r="DE257" s="165">
        <f t="shared" si="61"/>
        <v>235</v>
      </c>
      <c r="DF257" s="165">
        <f t="shared" si="61"/>
        <v>95</v>
      </c>
      <c r="DG257" s="165">
        <f t="shared" si="61"/>
        <v>95</v>
      </c>
      <c r="DH257" s="129">
        <f t="shared" si="61"/>
        <v>2</v>
      </c>
      <c r="DI257" s="129">
        <f t="shared" si="61"/>
        <v>13273.59</v>
      </c>
      <c r="DJ257" s="162">
        <f t="shared" si="39"/>
        <v>49.05449590924139</v>
      </c>
    </row>
    <row r="258" spans="2:114" ht="12.75">
      <c r="B258" s="41"/>
      <c r="C258" s="37"/>
      <c r="D258" s="37"/>
      <c r="E258" s="170"/>
      <c r="F258" s="170"/>
      <c r="G258" s="37"/>
      <c r="H258" s="171"/>
      <c r="I258" s="171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43"/>
      <c r="CJ258" s="37"/>
      <c r="CK258" s="37"/>
      <c r="CL258" s="37"/>
      <c r="CM258" s="37"/>
      <c r="CN258" s="37"/>
      <c r="CO258" s="37"/>
      <c r="CP258" s="37"/>
      <c r="CQ258" s="37"/>
      <c r="CR258" s="44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172"/>
      <c r="DI258" s="172"/>
      <c r="DJ258" s="173"/>
    </row>
    <row r="259" spans="2:114" ht="12.75">
      <c r="B259" s="41"/>
      <c r="C259" s="174"/>
      <c r="D259" s="37"/>
      <c r="E259" s="170"/>
      <c r="F259" s="170"/>
      <c r="G259" s="37"/>
      <c r="H259" s="171"/>
      <c r="I259" s="171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43"/>
      <c r="CJ259" s="37"/>
      <c r="CK259" s="37"/>
      <c r="CL259" s="37"/>
      <c r="CM259" s="37"/>
      <c r="CN259" s="37"/>
      <c r="CO259" s="37"/>
      <c r="CP259" s="37"/>
      <c r="CQ259" s="37"/>
      <c r="CR259" s="44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172"/>
      <c r="DI259" s="172"/>
      <c r="DJ259" s="173"/>
    </row>
    <row r="260" spans="2:114" s="25" customFormat="1" ht="13.5">
      <c r="B260" s="175"/>
      <c r="C260" s="176" t="s">
        <v>146</v>
      </c>
      <c r="D260" s="177"/>
      <c r="E260" s="178"/>
      <c r="F260" s="178"/>
      <c r="G260" s="177">
        <f>G261+G262</f>
        <v>14</v>
      </c>
      <c r="H260" s="175"/>
      <c r="I260" s="179"/>
      <c r="J260" s="180">
        <f aca="true" t="shared" si="62" ref="J260:BY260">J261+J262</f>
        <v>364260</v>
      </c>
      <c r="K260" s="180">
        <f t="shared" si="62"/>
        <v>16246</v>
      </c>
      <c r="L260" s="180"/>
      <c r="M260" s="180">
        <f t="shared" si="62"/>
        <v>12192</v>
      </c>
      <c r="N260" s="180">
        <f t="shared" si="62"/>
        <v>6161</v>
      </c>
      <c r="O260" s="180">
        <f t="shared" si="62"/>
        <v>4147</v>
      </c>
      <c r="P260" s="180">
        <f t="shared" si="62"/>
        <v>4157</v>
      </c>
      <c r="Q260" s="180">
        <f t="shared" si="62"/>
        <v>4082</v>
      </c>
      <c r="R260" s="181">
        <f t="shared" si="62"/>
        <v>6049</v>
      </c>
      <c r="S260" s="182">
        <f t="shared" si="62"/>
        <v>78899.16</v>
      </c>
      <c r="T260" s="180">
        <f t="shared" si="62"/>
        <v>57540.15</v>
      </c>
      <c r="U260" s="180">
        <f t="shared" si="62"/>
        <v>1846</v>
      </c>
      <c r="V260" s="180">
        <f t="shared" si="62"/>
        <v>35780.30999999998</v>
      </c>
      <c r="W260" s="180">
        <f t="shared" si="62"/>
        <v>26100.361</v>
      </c>
      <c r="X260" s="180">
        <f t="shared" si="62"/>
        <v>2301</v>
      </c>
      <c r="Y260" s="180">
        <f t="shared" si="62"/>
        <v>43118.850000000006</v>
      </c>
      <c r="Z260" s="180">
        <f t="shared" si="62"/>
        <v>31439.789</v>
      </c>
      <c r="AA260" s="180">
        <f>AA261+AA262</f>
        <v>0</v>
      </c>
      <c r="AB260" s="180">
        <f>AB261+AB262</f>
        <v>0</v>
      </c>
      <c r="AC260" s="180">
        <f>AC261+AC262</f>
        <v>0</v>
      </c>
      <c r="AD260" s="180">
        <f t="shared" si="62"/>
        <v>2965.82</v>
      </c>
      <c r="AE260" s="180">
        <f t="shared" si="62"/>
        <v>1903.8200000000002</v>
      </c>
      <c r="AF260" s="180">
        <f t="shared" si="62"/>
        <v>0</v>
      </c>
      <c r="AG260" s="180">
        <f t="shared" si="62"/>
        <v>1903.8200000000002</v>
      </c>
      <c r="AH260" s="180">
        <f t="shared" si="62"/>
        <v>1062</v>
      </c>
      <c r="AI260" s="180">
        <f>AI261+AI262</f>
        <v>0</v>
      </c>
      <c r="AJ260" s="180">
        <f t="shared" si="62"/>
        <v>81864.98</v>
      </c>
      <c r="AK260" s="180">
        <f t="shared" si="62"/>
        <v>0</v>
      </c>
      <c r="AL260" s="180">
        <f t="shared" si="62"/>
        <v>22</v>
      </c>
      <c r="AM260" s="180">
        <f t="shared" si="62"/>
        <v>30</v>
      </c>
      <c r="AN260" s="180">
        <f t="shared" si="62"/>
        <v>14</v>
      </c>
      <c r="AO260" s="180">
        <f t="shared" si="62"/>
        <v>0</v>
      </c>
      <c r="AP260" s="180">
        <f t="shared" si="62"/>
        <v>14</v>
      </c>
      <c r="AQ260" s="180">
        <f t="shared" si="62"/>
        <v>52916</v>
      </c>
      <c r="AR260" s="180">
        <f t="shared" si="62"/>
        <v>0</v>
      </c>
      <c r="AS260" s="180">
        <f t="shared" si="62"/>
        <v>4509</v>
      </c>
      <c r="AT260" s="180">
        <f t="shared" si="62"/>
        <v>4138</v>
      </c>
      <c r="AU260" s="180">
        <f t="shared" si="62"/>
        <v>12180</v>
      </c>
      <c r="AV260" s="180">
        <f t="shared" si="62"/>
        <v>104008</v>
      </c>
      <c r="AW260" s="180">
        <f t="shared" si="62"/>
        <v>0</v>
      </c>
      <c r="AX260" s="180">
        <f t="shared" si="62"/>
        <v>104008</v>
      </c>
      <c r="AY260" s="180">
        <f t="shared" si="62"/>
        <v>36161</v>
      </c>
      <c r="AZ260" s="180">
        <f t="shared" si="62"/>
        <v>2941</v>
      </c>
      <c r="BA260" s="180">
        <f t="shared" si="62"/>
        <v>16399</v>
      </c>
      <c r="BB260" s="180">
        <f t="shared" si="62"/>
        <v>16399</v>
      </c>
      <c r="BC260" s="180">
        <f t="shared" si="62"/>
        <v>750</v>
      </c>
      <c r="BD260" s="180">
        <f t="shared" si="62"/>
        <v>818</v>
      </c>
      <c r="BE260" s="180">
        <f t="shared" si="62"/>
        <v>4876</v>
      </c>
      <c r="BF260" s="180">
        <f t="shared" si="62"/>
        <v>13766</v>
      </c>
      <c r="BG260" s="180">
        <f t="shared" si="62"/>
        <v>14</v>
      </c>
      <c r="BH260" s="180">
        <f t="shared" si="62"/>
        <v>132463</v>
      </c>
      <c r="BI260" s="180">
        <f t="shared" si="62"/>
        <v>4400</v>
      </c>
      <c r="BJ260" s="180">
        <f t="shared" si="62"/>
        <v>2200</v>
      </c>
      <c r="BK260" s="180">
        <f t="shared" si="62"/>
        <v>3</v>
      </c>
      <c r="BL260" s="180">
        <f t="shared" si="62"/>
        <v>6255.62</v>
      </c>
      <c r="BM260" s="180">
        <f t="shared" si="62"/>
        <v>4671.36</v>
      </c>
      <c r="BN260" s="180">
        <f t="shared" si="62"/>
        <v>11</v>
      </c>
      <c r="BO260" s="180">
        <f t="shared" si="62"/>
        <v>72643.54000000001</v>
      </c>
      <c r="BP260" s="180">
        <f t="shared" si="62"/>
        <v>52868.79</v>
      </c>
      <c r="BQ260" s="180">
        <f t="shared" si="62"/>
        <v>0</v>
      </c>
      <c r="BR260" s="180">
        <f t="shared" si="62"/>
        <v>0</v>
      </c>
      <c r="BS260" s="180">
        <f t="shared" si="62"/>
        <v>0</v>
      </c>
      <c r="BT260" s="180">
        <f t="shared" si="62"/>
        <v>0</v>
      </c>
      <c r="BU260" s="180">
        <f t="shared" si="62"/>
        <v>3</v>
      </c>
      <c r="BV260" s="180">
        <f t="shared" si="62"/>
        <v>0</v>
      </c>
      <c r="BW260" s="180">
        <f t="shared" si="62"/>
        <v>0</v>
      </c>
      <c r="BX260" s="180">
        <f t="shared" si="62"/>
        <v>40</v>
      </c>
      <c r="BY260" s="180">
        <f t="shared" si="62"/>
        <v>7805</v>
      </c>
      <c r="BZ260" s="180">
        <f aca="true" t="shared" si="63" ref="BZ260:CI260">BZ261+BZ262</f>
        <v>0</v>
      </c>
      <c r="CA260" s="180">
        <f t="shared" si="63"/>
        <v>0</v>
      </c>
      <c r="CB260" s="180">
        <f t="shared" si="63"/>
        <v>0</v>
      </c>
      <c r="CC260" s="180">
        <f t="shared" si="63"/>
        <v>0</v>
      </c>
      <c r="CD260" s="180">
        <f t="shared" si="63"/>
        <v>0</v>
      </c>
      <c r="CE260" s="180">
        <f t="shared" si="63"/>
        <v>0</v>
      </c>
      <c r="CF260" s="180">
        <f t="shared" si="63"/>
        <v>0</v>
      </c>
      <c r="CG260" s="180">
        <f t="shared" si="63"/>
        <v>0</v>
      </c>
      <c r="CH260" s="180">
        <f t="shared" si="63"/>
        <v>0</v>
      </c>
      <c r="CI260" s="180">
        <f t="shared" si="63"/>
        <v>22498.780000000002</v>
      </c>
      <c r="CJ260" s="180">
        <f>CJ261+CJ262</f>
        <v>37783</v>
      </c>
      <c r="CK260" s="180">
        <f>CK261+CK262</f>
        <v>21537</v>
      </c>
      <c r="CL260" s="180">
        <f aca="true" t="shared" si="64" ref="CL260:CQ260">CL261+CL262</f>
        <v>0</v>
      </c>
      <c r="CM260" s="180">
        <f t="shared" si="64"/>
        <v>0</v>
      </c>
      <c r="CN260" s="180">
        <f t="shared" si="64"/>
        <v>14</v>
      </c>
      <c r="CO260" s="180">
        <f t="shared" si="64"/>
        <v>104008</v>
      </c>
      <c r="CP260" s="180">
        <f t="shared" si="64"/>
        <v>14</v>
      </c>
      <c r="CQ260" s="180">
        <f t="shared" si="64"/>
        <v>104008</v>
      </c>
      <c r="CR260" s="183">
        <f aca="true" t="shared" si="65" ref="CR260:DI260">CR261+CR262</f>
        <v>912</v>
      </c>
      <c r="CS260" s="180">
        <f t="shared" si="65"/>
        <v>14</v>
      </c>
      <c r="CT260" s="180">
        <f t="shared" si="65"/>
        <v>0</v>
      </c>
      <c r="CU260" s="180">
        <f t="shared" si="65"/>
        <v>0</v>
      </c>
      <c r="CV260" s="180">
        <f t="shared" si="65"/>
        <v>5</v>
      </c>
      <c r="CW260" s="180">
        <f t="shared" si="65"/>
        <v>25</v>
      </c>
      <c r="CX260" s="180">
        <f t="shared" si="65"/>
        <v>0</v>
      </c>
      <c r="CY260" s="180">
        <f t="shared" si="65"/>
        <v>0</v>
      </c>
      <c r="CZ260" s="180">
        <f t="shared" si="65"/>
        <v>5</v>
      </c>
      <c r="DA260" s="180">
        <f t="shared" si="65"/>
        <v>0</v>
      </c>
      <c r="DB260" s="180">
        <f t="shared" si="65"/>
        <v>1301</v>
      </c>
      <c r="DC260" s="180">
        <f t="shared" si="65"/>
        <v>620</v>
      </c>
      <c r="DD260" s="180">
        <f t="shared" si="65"/>
        <v>620</v>
      </c>
      <c r="DE260" s="180">
        <f t="shared" si="65"/>
        <v>584</v>
      </c>
      <c r="DF260" s="180">
        <f t="shared" si="65"/>
        <v>225</v>
      </c>
      <c r="DG260" s="180">
        <f t="shared" si="65"/>
        <v>225</v>
      </c>
      <c r="DH260" s="184">
        <f t="shared" si="65"/>
        <v>8</v>
      </c>
      <c r="DI260" s="184">
        <f t="shared" si="65"/>
        <v>38900.12</v>
      </c>
      <c r="DJ260" s="185">
        <f t="shared" si="39"/>
        <v>54.65058183128947</v>
      </c>
    </row>
    <row r="261" spans="2:114" ht="12.75">
      <c r="B261" s="41"/>
      <c r="C261" s="186" t="s">
        <v>147</v>
      </c>
      <c r="D261" s="37"/>
      <c r="E261" s="170"/>
      <c r="F261" s="170"/>
      <c r="G261" s="187">
        <f>G54+G63+G65</f>
        <v>3</v>
      </c>
      <c r="H261" s="158">
        <v>5</v>
      </c>
      <c r="I261" s="171"/>
      <c r="J261" s="187">
        <f aca="true" t="shared" si="66" ref="J261:AP261">J54+J63+J65</f>
        <v>43976</v>
      </c>
      <c r="K261" s="187">
        <f t="shared" si="66"/>
        <v>2933</v>
      </c>
      <c r="L261" s="187"/>
      <c r="M261" s="187">
        <f t="shared" si="66"/>
        <v>3746</v>
      </c>
      <c r="N261" s="187">
        <f t="shared" si="66"/>
        <v>0</v>
      </c>
      <c r="O261" s="187">
        <f t="shared" si="66"/>
        <v>344</v>
      </c>
      <c r="P261" s="187">
        <f t="shared" si="66"/>
        <v>354</v>
      </c>
      <c r="Q261" s="187">
        <f t="shared" si="66"/>
        <v>253</v>
      </c>
      <c r="R261" s="187">
        <f t="shared" si="66"/>
        <v>264</v>
      </c>
      <c r="S261" s="187">
        <f t="shared" si="66"/>
        <v>6255.62</v>
      </c>
      <c r="T261" s="187">
        <f t="shared" si="66"/>
        <v>4671.36</v>
      </c>
      <c r="U261" s="187">
        <f t="shared" si="66"/>
        <v>38</v>
      </c>
      <c r="V261" s="187">
        <f t="shared" si="66"/>
        <v>762.4200000000001</v>
      </c>
      <c r="W261" s="187">
        <f t="shared" si="66"/>
        <v>537.5899999999999</v>
      </c>
      <c r="X261" s="187">
        <f t="shared" si="66"/>
        <v>306</v>
      </c>
      <c r="Y261" s="187">
        <f t="shared" si="66"/>
        <v>5493.2</v>
      </c>
      <c r="Z261" s="187">
        <f t="shared" si="66"/>
        <v>4133.7699999999995</v>
      </c>
      <c r="AA261" s="187">
        <f t="shared" si="66"/>
        <v>0</v>
      </c>
      <c r="AB261" s="187">
        <f t="shared" si="66"/>
        <v>0</v>
      </c>
      <c r="AC261" s="187">
        <f t="shared" si="66"/>
        <v>0</v>
      </c>
      <c r="AD261" s="187">
        <f t="shared" si="66"/>
        <v>1975.3300000000002</v>
      </c>
      <c r="AE261" s="187">
        <f t="shared" si="66"/>
        <v>913.33</v>
      </c>
      <c r="AF261" s="187">
        <f t="shared" si="66"/>
        <v>0</v>
      </c>
      <c r="AG261" s="187">
        <f t="shared" si="66"/>
        <v>913.33</v>
      </c>
      <c r="AH261" s="187">
        <f t="shared" si="66"/>
        <v>1062</v>
      </c>
      <c r="AI261" s="187">
        <f t="shared" si="66"/>
        <v>0</v>
      </c>
      <c r="AJ261" s="187">
        <f t="shared" si="66"/>
        <v>8230.95</v>
      </c>
      <c r="AK261" s="187">
        <f t="shared" si="66"/>
        <v>0</v>
      </c>
      <c r="AL261" s="187">
        <f t="shared" si="66"/>
        <v>0</v>
      </c>
      <c r="AM261" s="187">
        <f t="shared" si="66"/>
        <v>8</v>
      </c>
      <c r="AN261" s="187">
        <f t="shared" si="66"/>
        <v>3</v>
      </c>
      <c r="AO261" s="187">
        <f t="shared" si="66"/>
        <v>0</v>
      </c>
      <c r="AP261" s="187">
        <f t="shared" si="66"/>
        <v>3</v>
      </c>
      <c r="AQ261" s="187">
        <f aca="true" t="shared" si="67" ref="AQ261:BV261">AQ54+AQ63+AQ65</f>
        <v>7805</v>
      </c>
      <c r="AR261" s="187">
        <f t="shared" si="67"/>
        <v>0</v>
      </c>
      <c r="AS261" s="187">
        <f t="shared" si="67"/>
        <v>897</v>
      </c>
      <c r="AT261" s="187">
        <f t="shared" si="67"/>
        <v>911</v>
      </c>
      <c r="AU261" s="187">
        <f t="shared" si="67"/>
        <v>1512</v>
      </c>
      <c r="AV261" s="187">
        <f t="shared" si="67"/>
        <v>7669</v>
      </c>
      <c r="AW261" s="187">
        <f t="shared" si="67"/>
        <v>0</v>
      </c>
      <c r="AX261" s="187">
        <f t="shared" si="67"/>
        <v>7669</v>
      </c>
      <c r="AY261" s="187">
        <f t="shared" si="67"/>
        <v>0</v>
      </c>
      <c r="AZ261" s="187">
        <f t="shared" si="67"/>
        <v>493</v>
      </c>
      <c r="BA261" s="187">
        <f t="shared" si="67"/>
        <v>3495</v>
      </c>
      <c r="BB261" s="187">
        <f t="shared" si="67"/>
        <v>3495</v>
      </c>
      <c r="BC261" s="187">
        <f t="shared" si="67"/>
        <v>56</v>
      </c>
      <c r="BD261" s="187">
        <f t="shared" si="67"/>
        <v>82</v>
      </c>
      <c r="BE261" s="187">
        <f t="shared" si="67"/>
        <v>618</v>
      </c>
      <c r="BF261" s="187">
        <f t="shared" si="67"/>
        <v>1598</v>
      </c>
      <c r="BG261" s="187">
        <f t="shared" si="67"/>
        <v>3</v>
      </c>
      <c r="BH261" s="187">
        <f t="shared" si="67"/>
        <v>11151</v>
      </c>
      <c r="BI261" s="187">
        <f t="shared" si="67"/>
        <v>470</v>
      </c>
      <c r="BJ261" s="187">
        <f t="shared" si="67"/>
        <v>0</v>
      </c>
      <c r="BK261" s="187">
        <f t="shared" si="67"/>
        <v>3</v>
      </c>
      <c r="BL261" s="187">
        <f t="shared" si="67"/>
        <v>6255.62</v>
      </c>
      <c r="BM261" s="187">
        <f t="shared" si="67"/>
        <v>4671.36</v>
      </c>
      <c r="BN261" s="187">
        <f t="shared" si="67"/>
        <v>0</v>
      </c>
      <c r="BO261" s="187">
        <f t="shared" si="67"/>
        <v>0</v>
      </c>
      <c r="BP261" s="187">
        <f t="shared" si="67"/>
        <v>0</v>
      </c>
      <c r="BQ261" s="187">
        <f t="shared" si="67"/>
        <v>0</v>
      </c>
      <c r="BR261" s="187">
        <f t="shared" si="67"/>
        <v>0</v>
      </c>
      <c r="BS261" s="187">
        <f t="shared" si="67"/>
        <v>0</v>
      </c>
      <c r="BT261" s="187">
        <f t="shared" si="67"/>
        <v>0</v>
      </c>
      <c r="BU261" s="187">
        <f t="shared" si="67"/>
        <v>0</v>
      </c>
      <c r="BV261" s="187">
        <f t="shared" si="67"/>
        <v>0</v>
      </c>
      <c r="BW261" s="187">
        <f aca="true" t="shared" si="68" ref="BW261:DI261">BW54+BW63+BW65</f>
        <v>0</v>
      </c>
      <c r="BX261" s="187">
        <f t="shared" si="68"/>
        <v>0</v>
      </c>
      <c r="BY261" s="187">
        <f t="shared" si="68"/>
        <v>7805</v>
      </c>
      <c r="BZ261" s="187">
        <f t="shared" si="68"/>
        <v>0</v>
      </c>
      <c r="CA261" s="187">
        <f t="shared" si="68"/>
        <v>0</v>
      </c>
      <c r="CB261" s="187">
        <f t="shared" si="68"/>
        <v>0</v>
      </c>
      <c r="CC261" s="187">
        <f t="shared" si="68"/>
        <v>0</v>
      </c>
      <c r="CD261" s="187">
        <f t="shared" si="68"/>
        <v>0</v>
      </c>
      <c r="CE261" s="187">
        <f t="shared" si="68"/>
        <v>0</v>
      </c>
      <c r="CF261" s="187">
        <f t="shared" si="68"/>
        <v>0</v>
      </c>
      <c r="CG261" s="187">
        <f t="shared" si="68"/>
        <v>0</v>
      </c>
      <c r="CH261" s="187">
        <f t="shared" si="68"/>
        <v>0</v>
      </c>
      <c r="CI261" s="181">
        <f t="shared" si="68"/>
        <v>2227.7799999999997</v>
      </c>
      <c r="CJ261" s="187">
        <f t="shared" si="68"/>
        <v>8590</v>
      </c>
      <c r="CK261" s="187">
        <f t="shared" si="68"/>
        <v>5657</v>
      </c>
      <c r="CL261" s="187">
        <f t="shared" si="68"/>
        <v>0</v>
      </c>
      <c r="CM261" s="187">
        <f t="shared" si="68"/>
        <v>0</v>
      </c>
      <c r="CN261" s="187">
        <f t="shared" si="68"/>
        <v>3</v>
      </c>
      <c r="CO261" s="187">
        <f t="shared" si="68"/>
        <v>7669</v>
      </c>
      <c r="CP261" s="187">
        <f t="shared" si="68"/>
        <v>3</v>
      </c>
      <c r="CQ261" s="187">
        <f t="shared" si="68"/>
        <v>7669</v>
      </c>
      <c r="CR261" s="188">
        <f t="shared" si="68"/>
        <v>141</v>
      </c>
      <c r="CS261" s="187">
        <f t="shared" si="68"/>
        <v>3</v>
      </c>
      <c r="CT261" s="187">
        <f t="shared" si="68"/>
        <v>0</v>
      </c>
      <c r="CU261" s="187">
        <f t="shared" si="68"/>
        <v>0</v>
      </c>
      <c r="CV261" s="187">
        <f t="shared" si="68"/>
        <v>0</v>
      </c>
      <c r="CW261" s="187">
        <f t="shared" si="68"/>
        <v>4</v>
      </c>
      <c r="CX261" s="187">
        <f t="shared" si="68"/>
        <v>0</v>
      </c>
      <c r="CY261" s="187">
        <f t="shared" si="68"/>
        <v>0</v>
      </c>
      <c r="CZ261" s="187">
        <f t="shared" si="68"/>
        <v>0</v>
      </c>
      <c r="DA261" s="187">
        <f t="shared" si="68"/>
        <v>0</v>
      </c>
      <c r="DB261" s="187">
        <f t="shared" si="68"/>
        <v>229</v>
      </c>
      <c r="DC261" s="187">
        <f t="shared" si="68"/>
        <v>4</v>
      </c>
      <c r="DD261" s="187">
        <f t="shared" si="68"/>
        <v>4</v>
      </c>
      <c r="DE261" s="187">
        <f t="shared" si="68"/>
        <v>193</v>
      </c>
      <c r="DF261" s="187">
        <f t="shared" si="68"/>
        <v>1</v>
      </c>
      <c r="DG261" s="187">
        <f t="shared" si="68"/>
        <v>1</v>
      </c>
      <c r="DH261" s="189">
        <f t="shared" si="68"/>
        <v>3</v>
      </c>
      <c r="DI261" s="189">
        <f t="shared" si="68"/>
        <v>6255.62</v>
      </c>
      <c r="DJ261" s="173">
        <f t="shared" si="39"/>
        <v>87.81223923448034</v>
      </c>
    </row>
    <row r="262" spans="2:114" ht="12.75">
      <c r="B262" s="41"/>
      <c r="C262" s="186" t="s">
        <v>148</v>
      </c>
      <c r="D262" s="37"/>
      <c r="E262" s="170"/>
      <c r="F262" s="170"/>
      <c r="G262" s="187">
        <f>G52+G53+G55+G56+G57+G58+G59+G60+G61+G62+G64</f>
        <v>11</v>
      </c>
      <c r="H262" s="158">
        <v>9</v>
      </c>
      <c r="I262" s="171"/>
      <c r="J262" s="187">
        <f aca="true" t="shared" si="69" ref="J262:AP262">J52+J53+J55+J56+J57+J58+J59+J60+J61+J62+J64</f>
        <v>320284</v>
      </c>
      <c r="K262" s="187">
        <f t="shared" si="69"/>
        <v>13313</v>
      </c>
      <c r="L262" s="187"/>
      <c r="M262" s="187">
        <f t="shared" si="69"/>
        <v>8446</v>
      </c>
      <c r="N262" s="187">
        <f t="shared" si="69"/>
        <v>6161</v>
      </c>
      <c r="O262" s="187">
        <f t="shared" si="69"/>
        <v>3803</v>
      </c>
      <c r="P262" s="187">
        <f t="shared" si="69"/>
        <v>3803</v>
      </c>
      <c r="Q262" s="187">
        <f t="shared" si="69"/>
        <v>3829</v>
      </c>
      <c r="R262" s="187">
        <f t="shared" si="69"/>
        <v>5785</v>
      </c>
      <c r="S262" s="187">
        <f t="shared" si="69"/>
        <v>72643.54000000001</v>
      </c>
      <c r="T262" s="187">
        <f t="shared" si="69"/>
        <v>52868.79</v>
      </c>
      <c r="U262" s="187">
        <f t="shared" si="69"/>
        <v>1808</v>
      </c>
      <c r="V262" s="187">
        <f t="shared" si="69"/>
        <v>35017.889999999985</v>
      </c>
      <c r="W262" s="187">
        <f t="shared" si="69"/>
        <v>25562.771</v>
      </c>
      <c r="X262" s="187">
        <f t="shared" si="69"/>
        <v>1995</v>
      </c>
      <c r="Y262" s="187">
        <f t="shared" si="69"/>
        <v>37625.65000000001</v>
      </c>
      <c r="Z262" s="187">
        <f t="shared" si="69"/>
        <v>27306.019</v>
      </c>
      <c r="AA262" s="187">
        <f t="shared" si="69"/>
        <v>0</v>
      </c>
      <c r="AB262" s="187">
        <f t="shared" si="69"/>
        <v>0</v>
      </c>
      <c r="AC262" s="187">
        <f t="shared" si="69"/>
        <v>0</v>
      </c>
      <c r="AD262" s="187">
        <f t="shared" si="69"/>
        <v>990.49</v>
      </c>
      <c r="AE262" s="187">
        <f t="shared" si="69"/>
        <v>990.49</v>
      </c>
      <c r="AF262" s="187">
        <f t="shared" si="69"/>
        <v>0</v>
      </c>
      <c r="AG262" s="187">
        <f t="shared" si="69"/>
        <v>990.49</v>
      </c>
      <c r="AH262" s="187">
        <f t="shared" si="69"/>
        <v>0</v>
      </c>
      <c r="AI262" s="187">
        <f t="shared" si="69"/>
        <v>0</v>
      </c>
      <c r="AJ262" s="187">
        <f t="shared" si="69"/>
        <v>73634.03</v>
      </c>
      <c r="AK262" s="187">
        <f t="shared" si="69"/>
        <v>0</v>
      </c>
      <c r="AL262" s="187">
        <f t="shared" si="69"/>
        <v>22</v>
      </c>
      <c r="AM262" s="187">
        <f t="shared" si="69"/>
        <v>22</v>
      </c>
      <c r="AN262" s="187">
        <f t="shared" si="69"/>
        <v>11</v>
      </c>
      <c r="AO262" s="187">
        <f t="shared" si="69"/>
        <v>0</v>
      </c>
      <c r="AP262" s="187">
        <f t="shared" si="69"/>
        <v>11</v>
      </c>
      <c r="AQ262" s="187">
        <f aca="true" t="shared" si="70" ref="AQ262:BV262">AQ52+AQ53+AQ55+AQ56+AQ57+AQ58+AQ59+AQ60+AQ61+AQ62+AQ64</f>
        <v>45111</v>
      </c>
      <c r="AR262" s="187">
        <f t="shared" si="70"/>
        <v>0</v>
      </c>
      <c r="AS262" s="187">
        <f t="shared" si="70"/>
        <v>3612</v>
      </c>
      <c r="AT262" s="187">
        <f t="shared" si="70"/>
        <v>3227</v>
      </c>
      <c r="AU262" s="187">
        <f t="shared" si="70"/>
        <v>10668</v>
      </c>
      <c r="AV262" s="187">
        <f t="shared" si="70"/>
        <v>96339</v>
      </c>
      <c r="AW262" s="187">
        <f t="shared" si="70"/>
        <v>0</v>
      </c>
      <c r="AX262" s="187">
        <f t="shared" si="70"/>
        <v>96339</v>
      </c>
      <c r="AY262" s="187">
        <f t="shared" si="70"/>
        <v>36161</v>
      </c>
      <c r="AZ262" s="187">
        <f t="shared" si="70"/>
        <v>2448</v>
      </c>
      <c r="BA262" s="187">
        <f t="shared" si="70"/>
        <v>12904</v>
      </c>
      <c r="BB262" s="187">
        <f t="shared" si="70"/>
        <v>12904</v>
      </c>
      <c r="BC262" s="187">
        <f t="shared" si="70"/>
        <v>694</v>
      </c>
      <c r="BD262" s="187">
        <f t="shared" si="70"/>
        <v>736</v>
      </c>
      <c r="BE262" s="187">
        <f t="shared" si="70"/>
        <v>4258</v>
      </c>
      <c r="BF262" s="187">
        <f t="shared" si="70"/>
        <v>12168</v>
      </c>
      <c r="BG262" s="187">
        <f t="shared" si="70"/>
        <v>11</v>
      </c>
      <c r="BH262" s="187">
        <f t="shared" si="70"/>
        <v>121312</v>
      </c>
      <c r="BI262" s="187">
        <f t="shared" si="70"/>
        <v>3930</v>
      </c>
      <c r="BJ262" s="187">
        <f t="shared" si="70"/>
        <v>2200</v>
      </c>
      <c r="BK262" s="187">
        <f t="shared" si="70"/>
        <v>0</v>
      </c>
      <c r="BL262" s="187">
        <f t="shared" si="70"/>
        <v>0</v>
      </c>
      <c r="BM262" s="187">
        <f t="shared" si="70"/>
        <v>0</v>
      </c>
      <c r="BN262" s="187">
        <f t="shared" si="70"/>
        <v>11</v>
      </c>
      <c r="BO262" s="187">
        <f t="shared" si="70"/>
        <v>72643.54000000001</v>
      </c>
      <c r="BP262" s="187">
        <f t="shared" si="70"/>
        <v>52868.79</v>
      </c>
      <c r="BQ262" s="187">
        <f t="shared" si="70"/>
        <v>0</v>
      </c>
      <c r="BR262" s="187">
        <f t="shared" si="70"/>
        <v>0</v>
      </c>
      <c r="BS262" s="187">
        <f t="shared" si="70"/>
        <v>0</v>
      </c>
      <c r="BT262" s="187">
        <f t="shared" si="70"/>
        <v>0</v>
      </c>
      <c r="BU262" s="187">
        <f t="shared" si="70"/>
        <v>3</v>
      </c>
      <c r="BV262" s="187">
        <f t="shared" si="70"/>
        <v>0</v>
      </c>
      <c r="BW262" s="187">
        <f aca="true" t="shared" si="71" ref="BW262:DI262">BW52+BW53+BW55+BW56+BW57+BW58+BW59+BW60+BW61+BW62+BW64</f>
        <v>0</v>
      </c>
      <c r="BX262" s="187">
        <f t="shared" si="71"/>
        <v>40</v>
      </c>
      <c r="BY262" s="187">
        <f t="shared" si="71"/>
        <v>0</v>
      </c>
      <c r="BZ262" s="187">
        <f t="shared" si="71"/>
        <v>0</v>
      </c>
      <c r="CA262" s="187">
        <f t="shared" si="71"/>
        <v>0</v>
      </c>
      <c r="CB262" s="187">
        <f t="shared" si="71"/>
        <v>0</v>
      </c>
      <c r="CC262" s="187">
        <f t="shared" si="71"/>
        <v>0</v>
      </c>
      <c r="CD262" s="187">
        <f t="shared" si="71"/>
        <v>0</v>
      </c>
      <c r="CE262" s="187">
        <f t="shared" si="71"/>
        <v>0</v>
      </c>
      <c r="CF262" s="187">
        <f t="shared" si="71"/>
        <v>0</v>
      </c>
      <c r="CG262" s="187">
        <f t="shared" si="71"/>
        <v>0</v>
      </c>
      <c r="CH262" s="187">
        <f t="shared" si="71"/>
        <v>0</v>
      </c>
      <c r="CI262" s="181">
        <f t="shared" si="71"/>
        <v>20271.000000000004</v>
      </c>
      <c r="CJ262" s="187">
        <f t="shared" si="71"/>
        <v>29193</v>
      </c>
      <c r="CK262" s="187">
        <f t="shared" si="71"/>
        <v>15880</v>
      </c>
      <c r="CL262" s="187">
        <f t="shared" si="71"/>
        <v>0</v>
      </c>
      <c r="CM262" s="187">
        <f t="shared" si="71"/>
        <v>0</v>
      </c>
      <c r="CN262" s="187">
        <f t="shared" si="71"/>
        <v>11</v>
      </c>
      <c r="CO262" s="187">
        <f t="shared" si="71"/>
        <v>96339</v>
      </c>
      <c r="CP262" s="187">
        <f t="shared" si="71"/>
        <v>11</v>
      </c>
      <c r="CQ262" s="187">
        <f t="shared" si="71"/>
        <v>96339</v>
      </c>
      <c r="CR262" s="188">
        <f t="shared" si="71"/>
        <v>771</v>
      </c>
      <c r="CS262" s="187">
        <f t="shared" si="71"/>
        <v>11</v>
      </c>
      <c r="CT262" s="187">
        <f t="shared" si="71"/>
        <v>0</v>
      </c>
      <c r="CU262" s="187">
        <f t="shared" si="71"/>
        <v>0</v>
      </c>
      <c r="CV262" s="187">
        <f t="shared" si="71"/>
        <v>5</v>
      </c>
      <c r="CW262" s="187">
        <f t="shared" si="71"/>
        <v>21</v>
      </c>
      <c r="CX262" s="187">
        <f t="shared" si="71"/>
        <v>0</v>
      </c>
      <c r="CY262" s="187">
        <f t="shared" si="71"/>
        <v>0</v>
      </c>
      <c r="CZ262" s="187">
        <f t="shared" si="71"/>
        <v>5</v>
      </c>
      <c r="DA262" s="187">
        <f t="shared" si="71"/>
        <v>0</v>
      </c>
      <c r="DB262" s="187">
        <f t="shared" si="71"/>
        <v>1072</v>
      </c>
      <c r="DC262" s="187">
        <f t="shared" si="71"/>
        <v>616</v>
      </c>
      <c r="DD262" s="187">
        <f t="shared" si="71"/>
        <v>616</v>
      </c>
      <c r="DE262" s="187">
        <f t="shared" si="71"/>
        <v>391</v>
      </c>
      <c r="DF262" s="187">
        <f t="shared" si="71"/>
        <v>224</v>
      </c>
      <c r="DG262" s="187">
        <f t="shared" si="71"/>
        <v>224</v>
      </c>
      <c r="DH262" s="189">
        <f t="shared" si="71"/>
        <v>5</v>
      </c>
      <c r="DI262" s="189">
        <f t="shared" si="71"/>
        <v>32644.5</v>
      </c>
      <c r="DJ262" s="173">
        <f t="shared" si="39"/>
        <v>51.79490151498675</v>
      </c>
    </row>
    <row r="263" spans="2:114" ht="12.75">
      <c r="B263" s="41"/>
      <c r="C263" s="37"/>
      <c r="D263" s="37"/>
      <c r="E263" s="170"/>
      <c r="F263" s="170"/>
      <c r="G263" s="37"/>
      <c r="H263" s="171"/>
      <c r="I263" s="171"/>
      <c r="J263" s="37"/>
      <c r="K263" s="37"/>
      <c r="L263" s="37"/>
      <c r="M263" s="37"/>
      <c r="N263" s="37"/>
      <c r="O263" s="37"/>
      <c r="P263" s="37"/>
      <c r="Q263" s="37"/>
      <c r="R263" s="37"/>
      <c r="S263" s="190"/>
      <c r="T263" s="190"/>
      <c r="U263" s="37"/>
      <c r="V263" s="191"/>
      <c r="W263" s="191"/>
      <c r="X263" s="37"/>
      <c r="Y263" s="37"/>
      <c r="Z263" s="37"/>
      <c r="AA263" s="37"/>
      <c r="AB263" s="37"/>
      <c r="AC263" s="37"/>
      <c r="AD263" s="37"/>
      <c r="AE263" s="190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41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43"/>
      <c r="CJ263" s="37"/>
      <c r="CK263" s="37"/>
      <c r="CL263" s="37"/>
      <c r="CM263" s="37"/>
      <c r="CN263" s="37"/>
      <c r="CO263" s="37"/>
      <c r="CP263" s="37"/>
      <c r="CQ263" s="37"/>
      <c r="CR263" s="44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173"/>
    </row>
    <row r="264" spans="2:114" s="25" customFormat="1" ht="13.5">
      <c r="B264" s="175"/>
      <c r="C264" s="177" t="s">
        <v>149</v>
      </c>
      <c r="D264" s="177"/>
      <c r="E264" s="178"/>
      <c r="F264" s="178"/>
      <c r="G264" s="180">
        <f>G250+G260</f>
        <v>59</v>
      </c>
      <c r="H264" s="179"/>
      <c r="I264" s="179"/>
      <c r="J264" s="180">
        <f aca="true" t="shared" si="72" ref="J264:BY264">J250+J260</f>
        <v>2010345</v>
      </c>
      <c r="K264" s="180">
        <f t="shared" si="72"/>
        <v>98381</v>
      </c>
      <c r="L264" s="180"/>
      <c r="M264" s="180">
        <f t="shared" si="72"/>
        <v>77212</v>
      </c>
      <c r="N264" s="180">
        <f t="shared" si="72"/>
        <v>33954</v>
      </c>
      <c r="O264" s="180">
        <f t="shared" si="72"/>
        <v>10748</v>
      </c>
      <c r="P264" s="180">
        <f t="shared" si="72"/>
        <v>17286</v>
      </c>
      <c r="Q264" s="180">
        <f t="shared" si="72"/>
        <v>10524</v>
      </c>
      <c r="R264" s="181">
        <f t="shared" si="72"/>
        <v>17936</v>
      </c>
      <c r="S264" s="180">
        <f t="shared" si="72"/>
        <v>403619.64</v>
      </c>
      <c r="T264" s="180">
        <f t="shared" si="72"/>
        <v>260180.58</v>
      </c>
      <c r="U264" s="180">
        <f t="shared" si="72"/>
        <v>6862</v>
      </c>
      <c r="V264" s="180">
        <f t="shared" si="72"/>
        <v>310715.44</v>
      </c>
      <c r="W264" s="180">
        <f t="shared" si="72"/>
        <v>195805.72100000002</v>
      </c>
      <c r="X264" s="180">
        <f t="shared" si="72"/>
        <v>3886</v>
      </c>
      <c r="Y264" s="180">
        <f t="shared" si="72"/>
        <v>92904.19999999998</v>
      </c>
      <c r="Z264" s="180">
        <f t="shared" si="72"/>
        <v>64374.85899999997</v>
      </c>
      <c r="AA264" s="180">
        <f>AA250+AA260</f>
        <v>0</v>
      </c>
      <c r="AB264" s="180">
        <f>AB250+AB260</f>
        <v>0</v>
      </c>
      <c r="AC264" s="180">
        <f>AC250+AC260</f>
        <v>0</v>
      </c>
      <c r="AD264" s="180">
        <f t="shared" si="72"/>
        <v>40240.36</v>
      </c>
      <c r="AE264" s="180">
        <f t="shared" si="72"/>
        <v>26784.589999999997</v>
      </c>
      <c r="AF264" s="180">
        <f t="shared" si="72"/>
        <v>0</v>
      </c>
      <c r="AG264" s="180">
        <f t="shared" si="72"/>
        <v>26784.589999999997</v>
      </c>
      <c r="AH264" s="180">
        <f t="shared" si="72"/>
        <v>13455.77</v>
      </c>
      <c r="AI264" s="180">
        <f>AI250+AI260</f>
        <v>0</v>
      </c>
      <c r="AJ264" s="180">
        <f t="shared" si="72"/>
        <v>443860</v>
      </c>
      <c r="AK264" s="180">
        <f t="shared" si="72"/>
        <v>0</v>
      </c>
      <c r="AL264" s="180">
        <f t="shared" si="72"/>
        <v>106</v>
      </c>
      <c r="AM264" s="180">
        <f t="shared" si="72"/>
        <v>216</v>
      </c>
      <c r="AN264" s="180">
        <f t="shared" si="72"/>
        <v>88</v>
      </c>
      <c r="AO264" s="180">
        <f t="shared" si="72"/>
        <v>0</v>
      </c>
      <c r="AP264" s="180">
        <f t="shared" si="72"/>
        <v>119</v>
      </c>
      <c r="AQ264" s="180">
        <f t="shared" si="72"/>
        <v>325731</v>
      </c>
      <c r="AR264" s="180">
        <f t="shared" si="72"/>
        <v>25765</v>
      </c>
      <c r="AS264" s="180">
        <f t="shared" si="72"/>
        <v>26862</v>
      </c>
      <c r="AT264" s="180">
        <f t="shared" si="72"/>
        <v>21599</v>
      </c>
      <c r="AU264" s="180">
        <f t="shared" si="72"/>
        <v>25131</v>
      </c>
      <c r="AV264" s="180">
        <f t="shared" si="72"/>
        <v>509843</v>
      </c>
      <c r="AW264" s="180">
        <f t="shared" si="72"/>
        <v>112316</v>
      </c>
      <c r="AX264" s="180">
        <f t="shared" si="72"/>
        <v>397527</v>
      </c>
      <c r="AY264" s="180">
        <f t="shared" si="72"/>
        <v>113936</v>
      </c>
      <c r="AZ264" s="180">
        <f t="shared" si="72"/>
        <v>13308</v>
      </c>
      <c r="BA264" s="180">
        <f t="shared" si="72"/>
        <v>94952</v>
      </c>
      <c r="BB264" s="180">
        <f t="shared" si="72"/>
        <v>94952</v>
      </c>
      <c r="BC264" s="180">
        <f t="shared" si="72"/>
        <v>2541</v>
      </c>
      <c r="BD264" s="180">
        <f t="shared" si="72"/>
        <v>1595</v>
      </c>
      <c r="BE264" s="180">
        <f t="shared" si="72"/>
        <v>22302</v>
      </c>
      <c r="BF264" s="180">
        <f t="shared" si="72"/>
        <v>61359</v>
      </c>
      <c r="BG264" s="180">
        <f t="shared" si="72"/>
        <v>25</v>
      </c>
      <c r="BH264" s="180">
        <f t="shared" si="72"/>
        <v>655576</v>
      </c>
      <c r="BI264" s="180">
        <f t="shared" si="72"/>
        <v>125794</v>
      </c>
      <c r="BJ264" s="180">
        <f t="shared" si="72"/>
        <v>8420</v>
      </c>
      <c r="BK264" s="180">
        <f t="shared" si="72"/>
        <v>25</v>
      </c>
      <c r="BL264" s="180">
        <f t="shared" si="72"/>
        <v>147266.21999999997</v>
      </c>
      <c r="BM264" s="180">
        <f t="shared" si="72"/>
        <v>88908.97000000002</v>
      </c>
      <c r="BN264" s="180">
        <f t="shared" si="72"/>
        <v>31</v>
      </c>
      <c r="BO264" s="180">
        <f t="shared" si="72"/>
        <v>208685.72</v>
      </c>
      <c r="BP264" s="180">
        <f t="shared" si="72"/>
        <v>142038.51</v>
      </c>
      <c r="BQ264" s="180">
        <f t="shared" si="72"/>
        <v>3</v>
      </c>
      <c r="BR264" s="180">
        <f t="shared" si="72"/>
        <v>47667.700000000004</v>
      </c>
      <c r="BS264" s="180">
        <f t="shared" si="72"/>
        <v>29233.1</v>
      </c>
      <c r="BT264" s="180">
        <f t="shared" si="72"/>
        <v>0</v>
      </c>
      <c r="BU264" s="180">
        <f t="shared" si="72"/>
        <v>134</v>
      </c>
      <c r="BV264" s="180">
        <f t="shared" si="72"/>
        <v>48682</v>
      </c>
      <c r="BW264" s="180">
        <f t="shared" si="72"/>
        <v>153080</v>
      </c>
      <c r="BX264" s="180">
        <f t="shared" si="72"/>
        <v>40</v>
      </c>
      <c r="BY264" s="180">
        <f t="shared" si="72"/>
        <v>147822</v>
      </c>
      <c r="BZ264" s="180">
        <f aca="true" t="shared" si="73" ref="BZ264:CI264">BZ250+BZ260</f>
        <v>0</v>
      </c>
      <c r="CA264" s="180">
        <f t="shared" si="73"/>
        <v>0</v>
      </c>
      <c r="CB264" s="180">
        <f t="shared" si="73"/>
        <v>0</v>
      </c>
      <c r="CC264" s="180">
        <f t="shared" si="73"/>
        <v>0</v>
      </c>
      <c r="CD264" s="180">
        <f t="shared" si="73"/>
        <v>0</v>
      </c>
      <c r="CE264" s="180">
        <f t="shared" si="73"/>
        <v>0</v>
      </c>
      <c r="CF264" s="180">
        <f t="shared" si="73"/>
        <v>0</v>
      </c>
      <c r="CG264" s="180">
        <f t="shared" si="73"/>
        <v>0</v>
      </c>
      <c r="CH264" s="180">
        <f t="shared" si="73"/>
        <v>0</v>
      </c>
      <c r="CI264" s="180">
        <f t="shared" si="73"/>
        <v>76579.69</v>
      </c>
      <c r="CJ264" s="180">
        <f>CJ250+CJ260</f>
        <v>231604</v>
      </c>
      <c r="CK264" s="180">
        <f>CK250+CK260</f>
        <v>133223</v>
      </c>
      <c r="CL264" s="180">
        <f aca="true" t="shared" si="74" ref="CL264:CQ264">CL250+CL260</f>
        <v>6</v>
      </c>
      <c r="CM264" s="180">
        <f t="shared" si="74"/>
        <v>112316</v>
      </c>
      <c r="CN264" s="180">
        <f t="shared" si="74"/>
        <v>53</v>
      </c>
      <c r="CO264" s="180">
        <f t="shared" si="74"/>
        <v>397527</v>
      </c>
      <c r="CP264" s="180">
        <f t="shared" si="74"/>
        <v>59</v>
      </c>
      <c r="CQ264" s="180">
        <f t="shared" si="74"/>
        <v>509843</v>
      </c>
      <c r="CR264" s="183">
        <f aca="true" t="shared" si="75" ref="CR264:DI264">CR250+CR260</f>
        <v>2712</v>
      </c>
      <c r="CS264" s="180">
        <f t="shared" si="75"/>
        <v>59</v>
      </c>
      <c r="CT264" s="180">
        <f t="shared" si="75"/>
        <v>2</v>
      </c>
      <c r="CU264" s="180">
        <f t="shared" si="75"/>
        <v>2</v>
      </c>
      <c r="CV264" s="180">
        <f t="shared" si="75"/>
        <v>12</v>
      </c>
      <c r="CW264" s="180">
        <f t="shared" si="75"/>
        <v>138</v>
      </c>
      <c r="CX264" s="180">
        <f t="shared" si="75"/>
        <v>0</v>
      </c>
      <c r="CY264" s="180">
        <f t="shared" si="75"/>
        <v>0</v>
      </c>
      <c r="CZ264" s="180">
        <f t="shared" si="75"/>
        <v>10</v>
      </c>
      <c r="DA264" s="180">
        <f t="shared" si="75"/>
        <v>5</v>
      </c>
      <c r="DB264" s="180">
        <f t="shared" si="75"/>
        <v>5936</v>
      </c>
      <c r="DC264" s="180">
        <f t="shared" si="75"/>
        <v>2593</v>
      </c>
      <c r="DD264" s="180">
        <f t="shared" si="75"/>
        <v>2593</v>
      </c>
      <c r="DE264" s="180">
        <f t="shared" si="75"/>
        <v>1044</v>
      </c>
      <c r="DF264" s="180">
        <f t="shared" si="75"/>
        <v>381</v>
      </c>
      <c r="DG264" s="180">
        <f t="shared" si="75"/>
        <v>381</v>
      </c>
      <c r="DH264" s="181">
        <f t="shared" si="75"/>
        <v>10</v>
      </c>
      <c r="DI264" s="181">
        <f t="shared" si="75"/>
        <v>52173.71000000001</v>
      </c>
      <c r="DJ264" s="185">
        <f t="shared" si="39"/>
        <v>23.017759988091754</v>
      </c>
    </row>
    <row r="265" spans="5:31" ht="12.75">
      <c r="E265" s="8"/>
      <c r="F265" s="8"/>
      <c r="H265" s="9"/>
      <c r="I265" s="9"/>
      <c r="S265" s="10"/>
      <c r="T265" s="10"/>
      <c r="V265" s="11"/>
      <c r="W265" s="11"/>
      <c r="AE265" s="10"/>
    </row>
    <row r="266" spans="5:31" ht="12.75">
      <c r="E266" s="8"/>
      <c r="F266" s="8"/>
      <c r="H266" s="9"/>
      <c r="I266" s="9"/>
      <c r="S266" s="10"/>
      <c r="T266" s="10"/>
      <c r="V266" s="11"/>
      <c r="W266" s="11"/>
      <c r="AD266" s="30"/>
      <c r="AE266" s="10"/>
    </row>
    <row r="267" spans="5:31" ht="12.75">
      <c r="E267" s="8"/>
      <c r="F267" s="8"/>
      <c r="H267" s="9"/>
      <c r="I267" s="9"/>
      <c r="S267" s="10"/>
      <c r="T267" s="10"/>
      <c r="V267" s="11"/>
      <c r="W267" s="11"/>
      <c r="AE267" s="10"/>
    </row>
    <row r="268" spans="5:31" ht="12.75">
      <c r="E268" s="8"/>
      <c r="F268" s="8"/>
      <c r="H268" s="9"/>
      <c r="I268" s="9"/>
      <c r="S268" s="10"/>
      <c r="T268" s="10"/>
      <c r="V268" s="11"/>
      <c r="W268" s="11"/>
      <c r="AE268" s="10"/>
    </row>
    <row r="269" spans="5:64" ht="12.75">
      <c r="E269" s="8"/>
      <c r="F269" s="8"/>
      <c r="H269" s="9"/>
      <c r="I269" s="9"/>
      <c r="S269" s="10"/>
      <c r="T269" s="10"/>
      <c r="V269" s="11"/>
      <c r="W269" s="11"/>
      <c r="AE269" s="10"/>
      <c r="BL269" s="29"/>
    </row>
    <row r="270" spans="5:31" ht="12.75">
      <c r="E270" s="8"/>
      <c r="F270" s="8"/>
      <c r="H270" s="9"/>
      <c r="I270" s="9"/>
      <c r="S270" s="1"/>
      <c r="T270" s="10"/>
      <c r="V270" s="11"/>
      <c r="W270" s="11"/>
      <c r="AE270" s="10"/>
    </row>
    <row r="271" spans="5:31" ht="12.75">
      <c r="E271" s="8"/>
      <c r="F271" s="8"/>
      <c r="H271" s="9"/>
      <c r="I271" s="9"/>
      <c r="S271" s="10"/>
      <c r="T271" s="10"/>
      <c r="V271" s="11"/>
      <c r="W271" s="11"/>
      <c r="AE271" s="10"/>
    </row>
    <row r="272" spans="5:31" ht="12.75">
      <c r="E272" s="8"/>
      <c r="F272" s="8"/>
      <c r="H272" s="9"/>
      <c r="I272" s="9"/>
      <c r="S272" s="10"/>
      <c r="T272" s="10"/>
      <c r="V272" s="11"/>
      <c r="W272" s="11"/>
      <c r="AE272" s="10"/>
    </row>
    <row r="273" spans="5:31" ht="12.75">
      <c r="E273" s="8"/>
      <c r="F273" s="8"/>
      <c r="H273" s="9"/>
      <c r="I273" s="9"/>
      <c r="S273" s="10"/>
      <c r="T273" s="10"/>
      <c r="V273" s="11"/>
      <c r="W273" s="11"/>
      <c r="AE273" s="10"/>
    </row>
    <row r="274" spans="5:31" ht="12.75">
      <c r="E274" s="8"/>
      <c r="F274" s="8"/>
      <c r="H274" s="9"/>
      <c r="I274" s="9"/>
      <c r="S274" s="10"/>
      <c r="T274" s="10"/>
      <c r="V274" s="11"/>
      <c r="W274" s="11"/>
      <c r="AE274" s="10"/>
    </row>
    <row r="275" spans="5:31" ht="12.75">
      <c r="E275" s="8"/>
      <c r="F275" s="8"/>
      <c r="H275" s="9"/>
      <c r="I275" s="9"/>
      <c r="S275" s="10"/>
      <c r="T275" s="10"/>
      <c r="V275" s="11"/>
      <c r="W275" s="11"/>
      <c r="AE275" s="10"/>
    </row>
    <row r="276" spans="5:31" ht="12.75">
      <c r="E276" s="8"/>
      <c r="F276" s="8"/>
      <c r="H276" s="9"/>
      <c r="I276" s="9"/>
      <c r="S276" s="10"/>
      <c r="T276" s="10"/>
      <c r="V276" s="11"/>
      <c r="W276" s="11"/>
      <c r="AE276" s="10"/>
    </row>
    <row r="277" spans="5:31" ht="12.75">
      <c r="E277" s="8"/>
      <c r="F277" s="8"/>
      <c r="H277" s="9"/>
      <c r="I277" s="9"/>
      <c r="S277" s="10"/>
      <c r="T277" s="10"/>
      <c r="V277" s="11"/>
      <c r="W277" s="11"/>
      <c r="AE277" s="10"/>
    </row>
    <row r="278" spans="5:31" ht="12.75">
      <c r="E278" s="8"/>
      <c r="F278" s="8"/>
      <c r="H278" s="9"/>
      <c r="I278" s="9"/>
      <c r="S278" s="10"/>
      <c r="T278" s="10"/>
      <c r="V278" s="11"/>
      <c r="W278" s="11"/>
      <c r="AE278" s="10"/>
    </row>
    <row r="279" spans="5:31" ht="12.75">
      <c r="E279" s="8"/>
      <c r="F279" s="8"/>
      <c r="H279" s="9"/>
      <c r="I279" s="9"/>
      <c r="S279" s="10"/>
      <c r="T279" s="10"/>
      <c r="V279" s="11"/>
      <c r="W279" s="11"/>
      <c r="AE279" s="10"/>
    </row>
    <row r="280" spans="5:31" ht="12.75">
      <c r="E280" s="8"/>
      <c r="F280" s="8"/>
      <c r="H280" s="9"/>
      <c r="I280" s="9"/>
      <c r="S280" s="10"/>
      <c r="T280" s="10"/>
      <c r="V280" s="11"/>
      <c r="W280" s="11"/>
      <c r="AE280" s="10"/>
    </row>
    <row r="281" spans="5:31" ht="12.75">
      <c r="E281" s="8"/>
      <c r="F281" s="8"/>
      <c r="H281" s="9"/>
      <c r="I281" s="9"/>
      <c r="S281" s="10"/>
      <c r="T281" s="10"/>
      <c r="V281" s="11"/>
      <c r="W281" s="11"/>
      <c r="AE281" s="10"/>
    </row>
    <row r="282" spans="5:31" ht="12.75">
      <c r="E282" s="8"/>
      <c r="F282" s="8"/>
      <c r="H282" s="9"/>
      <c r="I282" s="9"/>
      <c r="S282" s="10"/>
      <c r="T282" s="10"/>
      <c r="V282" s="11"/>
      <c r="W282" s="11"/>
      <c r="AE282" s="10"/>
    </row>
    <row r="283" spans="5:31" ht="12.75">
      <c r="E283" s="8"/>
      <c r="F283" s="8"/>
      <c r="H283" s="9"/>
      <c r="I283" s="9"/>
      <c r="S283" s="10"/>
      <c r="T283" s="10"/>
      <c r="V283" s="11"/>
      <c r="W283" s="11"/>
      <c r="AE283" s="10"/>
    </row>
    <row r="284" spans="5:31" ht="12.75">
      <c r="E284" s="8"/>
      <c r="F284" s="8"/>
      <c r="H284" s="9"/>
      <c r="I284" s="9"/>
      <c r="S284" s="10"/>
      <c r="T284" s="10"/>
      <c r="V284" s="11"/>
      <c r="W284" s="11"/>
      <c r="AE284" s="10"/>
    </row>
    <row r="285" spans="5:31" ht="12.75">
      <c r="E285" s="8"/>
      <c r="F285" s="8"/>
      <c r="H285" s="9"/>
      <c r="I285" s="9"/>
      <c r="S285" s="10"/>
      <c r="T285" s="10"/>
      <c r="V285" s="11"/>
      <c r="W285" s="11"/>
      <c r="AE285" s="10"/>
    </row>
    <row r="286" spans="5:31" ht="12.75">
      <c r="E286" s="8"/>
      <c r="F286" s="8"/>
      <c r="H286" s="9"/>
      <c r="I286" s="9"/>
      <c r="S286" s="10"/>
      <c r="T286" s="10"/>
      <c r="V286" s="11"/>
      <c r="W286" s="11"/>
      <c r="AE286" s="10"/>
    </row>
    <row r="287" spans="5:31" ht="12.75">
      <c r="E287" s="8"/>
      <c r="F287" s="8"/>
      <c r="H287" s="9"/>
      <c r="I287" s="9"/>
      <c r="S287" s="10"/>
      <c r="T287" s="10"/>
      <c r="V287" s="11"/>
      <c r="W287" s="11"/>
      <c r="AE287" s="10"/>
    </row>
    <row r="288" spans="5:31" ht="12.75">
      <c r="E288" s="8"/>
      <c r="F288" s="8"/>
      <c r="H288" s="9"/>
      <c r="I288" s="9"/>
      <c r="S288" s="10"/>
      <c r="T288" s="10"/>
      <c r="V288" s="11"/>
      <c r="W288" s="11"/>
      <c r="AE288" s="10"/>
    </row>
    <row r="289" spans="5:31" ht="12.75">
      <c r="E289" s="8"/>
      <c r="F289" s="8"/>
      <c r="H289" s="9"/>
      <c r="I289" s="9"/>
      <c r="S289" s="10"/>
      <c r="T289" s="10"/>
      <c r="V289" s="11"/>
      <c r="W289" s="11"/>
      <c r="AE289" s="10"/>
    </row>
    <row r="290" spans="5:23" ht="12.75">
      <c r="E290" s="8"/>
      <c r="F290" s="8"/>
      <c r="H290" s="9"/>
      <c r="I290" s="9"/>
      <c r="V290" s="11"/>
      <c r="W290" s="11"/>
    </row>
    <row r="291" spans="5:31" ht="12.75">
      <c r="E291" s="8"/>
      <c r="F291" s="8"/>
      <c r="H291" s="9"/>
      <c r="I291" s="9"/>
      <c r="S291" s="10"/>
      <c r="T291" s="10"/>
      <c r="V291" s="11"/>
      <c r="W291" s="11"/>
      <c r="AE291" s="10"/>
    </row>
    <row r="292" spans="5:31" ht="12.75">
      <c r="E292" s="8"/>
      <c r="F292" s="8"/>
      <c r="H292" s="9"/>
      <c r="I292" s="9"/>
      <c r="S292" s="10"/>
      <c r="T292" s="10"/>
      <c r="V292" s="11"/>
      <c r="W292" s="11"/>
      <c r="AE292" s="10"/>
    </row>
    <row r="293" spans="5:31" ht="12.75">
      <c r="E293" s="8"/>
      <c r="F293" s="8"/>
      <c r="H293" s="9"/>
      <c r="I293" s="9"/>
      <c r="S293" s="10"/>
      <c r="T293" s="10"/>
      <c r="V293" s="11"/>
      <c r="W293" s="11"/>
      <c r="AE293" s="10"/>
    </row>
    <row r="294" spans="5:31" ht="12.75">
      <c r="E294" s="8"/>
      <c r="F294" s="8"/>
      <c r="H294" s="9"/>
      <c r="I294" s="9"/>
      <c r="S294" s="10"/>
      <c r="T294" s="10"/>
      <c r="V294" s="11"/>
      <c r="W294" s="11"/>
      <c r="AE294" s="10"/>
    </row>
    <row r="295" spans="5:31" ht="12.75">
      <c r="E295" s="8"/>
      <c r="F295" s="8"/>
      <c r="H295" s="9"/>
      <c r="I295" s="9"/>
      <c r="S295" s="10"/>
      <c r="T295" s="10"/>
      <c r="V295" s="11"/>
      <c r="W295" s="11"/>
      <c r="AE295" s="10"/>
    </row>
    <row r="296" spans="5:31" ht="12.75">
      <c r="E296" s="8"/>
      <c r="F296" s="8"/>
      <c r="H296" s="9"/>
      <c r="I296" s="9"/>
      <c r="S296" s="10"/>
      <c r="T296" s="10"/>
      <c r="V296" s="11"/>
      <c r="W296" s="11"/>
      <c r="AE296" s="10"/>
    </row>
    <row r="297" spans="5:31" ht="12.75">
      <c r="E297" s="8"/>
      <c r="F297" s="8"/>
      <c r="H297" s="9"/>
      <c r="I297" s="9"/>
      <c r="S297" s="10"/>
      <c r="T297" s="10"/>
      <c r="V297" s="11"/>
      <c r="W297" s="11"/>
      <c r="AE297" s="10"/>
    </row>
    <row r="298" spans="5:31" ht="12.75">
      <c r="E298" s="8"/>
      <c r="F298" s="8"/>
      <c r="H298" s="9"/>
      <c r="I298" s="9"/>
      <c r="S298" s="10"/>
      <c r="T298" s="10"/>
      <c r="V298" s="11"/>
      <c r="W298" s="11"/>
      <c r="AE298" s="10"/>
    </row>
    <row r="299" spans="5:31" ht="12.75">
      <c r="E299" s="8"/>
      <c r="F299" s="8"/>
      <c r="H299" s="9"/>
      <c r="I299" s="9"/>
      <c r="S299" s="10"/>
      <c r="T299" s="10"/>
      <c r="V299" s="11"/>
      <c r="W299" s="11"/>
      <c r="AE299" s="10"/>
    </row>
    <row r="300" spans="5:31" ht="12.75">
      <c r="E300" s="8"/>
      <c r="F300" s="8"/>
      <c r="H300" s="9"/>
      <c r="I300" s="9"/>
      <c r="S300" s="10"/>
      <c r="T300" s="10"/>
      <c r="V300" s="11"/>
      <c r="W300" s="11"/>
      <c r="AE300" s="10"/>
    </row>
    <row r="301" spans="5:31" ht="12.75">
      <c r="E301" s="8"/>
      <c r="F301" s="8"/>
      <c r="H301" s="9"/>
      <c r="I301" s="9"/>
      <c r="S301" s="10"/>
      <c r="T301" s="10"/>
      <c r="V301" s="11"/>
      <c r="W301" s="11"/>
      <c r="AE301" s="10"/>
    </row>
    <row r="302" spans="5:31" ht="12.75">
      <c r="E302" s="8"/>
      <c r="F302" s="8"/>
      <c r="H302" s="9"/>
      <c r="I302" s="9"/>
      <c r="S302" s="10"/>
      <c r="T302" s="10"/>
      <c r="V302" s="11"/>
      <c r="W302" s="11"/>
      <c r="AE302" s="10"/>
    </row>
    <row r="303" spans="5:31" ht="12.75">
      <c r="E303" s="8"/>
      <c r="F303" s="8"/>
      <c r="H303" s="9"/>
      <c r="I303" s="9"/>
      <c r="S303" s="10"/>
      <c r="T303" s="10"/>
      <c r="V303" s="11"/>
      <c r="W303" s="11"/>
      <c r="AE303" s="10"/>
    </row>
    <row r="304" spans="5:31" ht="12.75">
      <c r="E304" s="8"/>
      <c r="F304" s="8"/>
      <c r="H304" s="9"/>
      <c r="I304" s="9"/>
      <c r="S304" s="10"/>
      <c r="T304" s="10"/>
      <c r="V304" s="11"/>
      <c r="W304" s="11"/>
      <c r="AE304" s="10"/>
    </row>
    <row r="305" spans="5:31" ht="12.75">
      <c r="E305" s="8"/>
      <c r="F305" s="8"/>
      <c r="H305" s="9"/>
      <c r="I305" s="9"/>
      <c r="S305" s="10"/>
      <c r="T305" s="10"/>
      <c r="V305" s="11"/>
      <c r="W305" s="11"/>
      <c r="AE305" s="10"/>
    </row>
    <row r="306" spans="5:31" ht="12.75">
      <c r="E306" s="8"/>
      <c r="F306" s="8"/>
      <c r="H306" s="9"/>
      <c r="I306" s="9"/>
      <c r="S306" s="10"/>
      <c r="T306" s="10"/>
      <c r="V306" s="11"/>
      <c r="W306" s="11"/>
      <c r="AE306" s="10"/>
    </row>
    <row r="307" spans="5:31" ht="12.75">
      <c r="E307" s="8"/>
      <c r="F307" s="8"/>
      <c r="H307" s="9"/>
      <c r="I307" s="9"/>
      <c r="S307" s="10"/>
      <c r="T307" s="10"/>
      <c r="V307" s="11"/>
      <c r="W307" s="11"/>
      <c r="AE307" s="10"/>
    </row>
    <row r="308" spans="5:31" ht="12.75">
      <c r="E308" s="8"/>
      <c r="F308" s="8"/>
      <c r="H308" s="9"/>
      <c r="I308" s="9"/>
      <c r="S308" s="10"/>
      <c r="T308" s="10"/>
      <c r="V308" s="11"/>
      <c r="W308" s="11"/>
      <c r="AE308" s="10"/>
    </row>
    <row r="309" spans="5:31" ht="12.75">
      <c r="E309" s="8"/>
      <c r="F309" s="8"/>
      <c r="H309" s="9"/>
      <c r="I309" s="9"/>
      <c r="S309" s="10"/>
      <c r="T309" s="10"/>
      <c r="V309" s="11"/>
      <c r="W309" s="11"/>
      <c r="AE309" s="10"/>
    </row>
    <row r="310" spans="5:31" ht="12.75">
      <c r="E310" s="8"/>
      <c r="F310" s="8"/>
      <c r="H310" s="9"/>
      <c r="I310" s="9"/>
      <c r="S310" s="10"/>
      <c r="T310" s="10"/>
      <c r="V310" s="11"/>
      <c r="W310" s="11"/>
      <c r="AE310" s="10"/>
    </row>
    <row r="311" spans="5:31" ht="12.75">
      <c r="E311" s="8"/>
      <c r="F311" s="8"/>
      <c r="H311" s="9"/>
      <c r="I311" s="9"/>
      <c r="S311" s="10"/>
      <c r="T311" s="10"/>
      <c r="V311" s="11"/>
      <c r="W311" s="11"/>
      <c r="AE311" s="10"/>
    </row>
    <row r="312" spans="5:31" ht="12.75">
      <c r="E312" s="8"/>
      <c r="F312" s="8"/>
      <c r="H312" s="9"/>
      <c r="I312" s="9"/>
      <c r="S312" s="10"/>
      <c r="T312" s="10"/>
      <c r="V312" s="11"/>
      <c r="W312" s="11"/>
      <c r="AE312" s="10"/>
    </row>
    <row r="313" spans="5:31" ht="12.75">
      <c r="E313" s="8"/>
      <c r="F313" s="8"/>
      <c r="H313" s="9"/>
      <c r="I313" s="9"/>
      <c r="S313" s="10"/>
      <c r="T313" s="10"/>
      <c r="V313" s="11"/>
      <c r="W313" s="11"/>
      <c r="AE313" s="10"/>
    </row>
    <row r="314" spans="5:31" ht="12.75">
      <c r="E314" s="8"/>
      <c r="F314" s="8"/>
      <c r="H314" s="9"/>
      <c r="I314" s="9"/>
      <c r="S314" s="10"/>
      <c r="T314" s="10"/>
      <c r="V314" s="11"/>
      <c r="W314" s="11"/>
      <c r="AE314" s="10"/>
    </row>
    <row r="315" spans="5:31" ht="12.75">
      <c r="E315" s="8"/>
      <c r="F315" s="8"/>
      <c r="H315" s="9"/>
      <c r="I315" s="9"/>
      <c r="S315" s="10"/>
      <c r="T315" s="10"/>
      <c r="V315" s="11"/>
      <c r="W315" s="11"/>
      <c r="AE315" s="10"/>
    </row>
    <row r="316" spans="5:31" ht="12.75">
      <c r="E316" s="8"/>
      <c r="F316" s="8"/>
      <c r="H316" s="9"/>
      <c r="I316" s="9"/>
      <c r="S316" s="10"/>
      <c r="T316" s="10"/>
      <c r="V316" s="11"/>
      <c r="W316" s="11"/>
      <c r="AE316" s="10"/>
    </row>
    <row r="317" spans="5:31" ht="12.75">
      <c r="E317" s="8"/>
      <c r="F317" s="8"/>
      <c r="H317" s="9"/>
      <c r="I317" s="9"/>
      <c r="S317" s="10"/>
      <c r="T317" s="10"/>
      <c r="V317" s="11"/>
      <c r="W317" s="11"/>
      <c r="AE317" s="10"/>
    </row>
    <row r="318" spans="5:31" ht="12.75">
      <c r="E318" s="8"/>
      <c r="F318" s="8"/>
      <c r="H318" s="9"/>
      <c r="I318" s="9"/>
      <c r="S318" s="10"/>
      <c r="T318" s="10"/>
      <c r="V318" s="11"/>
      <c r="W318" s="11"/>
      <c r="AE318" s="10"/>
    </row>
    <row r="319" spans="5:31" ht="12.75">
      <c r="E319" s="8"/>
      <c r="F319" s="8"/>
      <c r="H319" s="9"/>
      <c r="I319" s="9"/>
      <c r="S319" s="10"/>
      <c r="T319" s="10"/>
      <c r="V319" s="11"/>
      <c r="W319" s="11"/>
      <c r="AE319" s="10"/>
    </row>
    <row r="320" spans="5:31" ht="12.75">
      <c r="E320" s="8"/>
      <c r="F320" s="8"/>
      <c r="H320" s="9"/>
      <c r="I320" s="9"/>
      <c r="S320" s="10"/>
      <c r="T320" s="10"/>
      <c r="V320" s="11"/>
      <c r="W320" s="11"/>
      <c r="AE320" s="10"/>
    </row>
    <row r="321" spans="5:31" ht="12.75">
      <c r="E321" s="8"/>
      <c r="F321" s="8"/>
      <c r="H321" s="9"/>
      <c r="I321" s="9"/>
      <c r="S321" s="10"/>
      <c r="T321" s="10"/>
      <c r="V321" s="11"/>
      <c r="W321" s="11"/>
      <c r="AE321" s="10"/>
    </row>
    <row r="322" spans="5:31" ht="12.75">
      <c r="E322" s="8"/>
      <c r="F322" s="8"/>
      <c r="H322" s="9"/>
      <c r="I322" s="9"/>
      <c r="S322" s="10"/>
      <c r="T322" s="10"/>
      <c r="V322" s="11"/>
      <c r="W322" s="11"/>
      <c r="AE322" s="10"/>
    </row>
    <row r="323" spans="5:31" ht="12.75">
      <c r="E323" s="8"/>
      <c r="F323" s="8"/>
      <c r="H323" s="9"/>
      <c r="I323" s="9"/>
      <c r="S323" s="10"/>
      <c r="T323" s="10"/>
      <c r="V323" s="11"/>
      <c r="W323" s="11"/>
      <c r="AE323" s="10"/>
    </row>
    <row r="324" spans="5:31" ht="12.75">
      <c r="E324" s="8"/>
      <c r="F324" s="8"/>
      <c r="H324" s="9"/>
      <c r="I324" s="9"/>
      <c r="S324" s="10"/>
      <c r="T324" s="10"/>
      <c r="V324" s="11"/>
      <c r="W324" s="11"/>
      <c r="AE324" s="10"/>
    </row>
    <row r="325" spans="5:31" ht="12.75">
      <c r="E325" s="8"/>
      <c r="F325" s="8"/>
      <c r="H325" s="9"/>
      <c r="I325" s="9"/>
      <c r="S325" s="10"/>
      <c r="T325" s="10"/>
      <c r="V325" s="11"/>
      <c r="W325" s="11"/>
      <c r="AE325" s="10"/>
    </row>
    <row r="326" spans="5:31" ht="12.75">
      <c r="E326" s="8"/>
      <c r="F326" s="8"/>
      <c r="H326" s="9"/>
      <c r="I326" s="9"/>
      <c r="S326" s="10"/>
      <c r="T326" s="10"/>
      <c r="V326" s="11"/>
      <c r="W326" s="11"/>
      <c r="AE326" s="10"/>
    </row>
    <row r="327" spans="5:31" ht="12.75">
      <c r="E327" s="8"/>
      <c r="F327" s="8"/>
      <c r="H327" s="9"/>
      <c r="I327" s="9"/>
      <c r="S327" s="10"/>
      <c r="T327" s="10"/>
      <c r="V327" s="11"/>
      <c r="W327" s="11"/>
      <c r="AE327" s="10"/>
    </row>
    <row r="328" spans="5:31" ht="12.75">
      <c r="E328" s="8"/>
      <c r="F328" s="8"/>
      <c r="H328" s="9"/>
      <c r="I328" s="9"/>
      <c r="S328" s="10"/>
      <c r="T328" s="10"/>
      <c r="V328" s="11"/>
      <c r="W328" s="11"/>
      <c r="AE328" s="10"/>
    </row>
    <row r="329" spans="5:31" ht="12.75">
      <c r="E329" s="8"/>
      <c r="F329" s="8"/>
      <c r="H329" s="9"/>
      <c r="I329" s="9"/>
      <c r="S329" s="10"/>
      <c r="T329" s="10"/>
      <c r="V329" s="11"/>
      <c r="W329" s="11"/>
      <c r="AE329" s="10"/>
    </row>
    <row r="330" spans="5:31" ht="12.75">
      <c r="E330" s="8"/>
      <c r="F330" s="8"/>
      <c r="H330" s="9"/>
      <c r="I330" s="9"/>
      <c r="S330" s="10"/>
      <c r="T330" s="10"/>
      <c r="V330" s="11"/>
      <c r="W330" s="11"/>
      <c r="AE330" s="10"/>
    </row>
    <row r="331" spans="5:31" ht="12.75">
      <c r="E331" s="8"/>
      <c r="F331" s="8"/>
      <c r="H331" s="9"/>
      <c r="I331" s="9"/>
      <c r="S331" s="10"/>
      <c r="T331" s="10"/>
      <c r="V331" s="11"/>
      <c r="W331" s="11"/>
      <c r="AE331" s="10"/>
    </row>
    <row r="332" spans="5:31" ht="12.75">
      <c r="E332" s="8"/>
      <c r="F332" s="8"/>
      <c r="H332" s="9"/>
      <c r="I332" s="9"/>
      <c r="S332" s="10"/>
      <c r="T332" s="10"/>
      <c r="V332" s="11"/>
      <c r="W332" s="11"/>
      <c r="AE332" s="10"/>
    </row>
    <row r="333" spans="5:31" ht="12.75">
      <c r="E333" s="8"/>
      <c r="F333" s="8"/>
      <c r="H333" s="9"/>
      <c r="I333" s="9"/>
      <c r="S333" s="10"/>
      <c r="T333" s="10"/>
      <c r="V333" s="11"/>
      <c r="W333" s="11"/>
      <c r="AE333" s="10"/>
    </row>
    <row r="334" spans="5:31" ht="12.75">
      <c r="E334" s="8"/>
      <c r="F334" s="8"/>
      <c r="H334" s="9"/>
      <c r="I334" s="9"/>
      <c r="S334" s="10"/>
      <c r="T334" s="10"/>
      <c r="V334" s="11"/>
      <c r="W334" s="11"/>
      <c r="AE334" s="10"/>
    </row>
    <row r="335" spans="5:31" ht="12.75">
      <c r="E335" s="8"/>
      <c r="F335" s="8"/>
      <c r="H335" s="9"/>
      <c r="I335" s="9"/>
      <c r="S335" s="10"/>
      <c r="T335" s="10"/>
      <c r="V335" s="11"/>
      <c r="W335" s="11"/>
      <c r="AE335" s="10"/>
    </row>
    <row r="336" spans="5:31" ht="12.75">
      <c r="E336" s="8"/>
      <c r="F336" s="8"/>
      <c r="H336" s="9"/>
      <c r="I336" s="9"/>
      <c r="S336" s="10"/>
      <c r="T336" s="10"/>
      <c r="V336" s="11"/>
      <c r="W336" s="11"/>
      <c r="AE336" s="10"/>
    </row>
    <row r="337" spans="5:31" ht="12.75">
      <c r="E337" s="8"/>
      <c r="F337" s="8"/>
      <c r="H337" s="9"/>
      <c r="I337" s="9"/>
      <c r="S337" s="10"/>
      <c r="T337" s="10"/>
      <c r="V337" s="11"/>
      <c r="W337" s="11"/>
      <c r="AE337" s="10"/>
    </row>
    <row r="338" spans="5:31" ht="12.75">
      <c r="E338" s="8"/>
      <c r="F338" s="8"/>
      <c r="H338" s="9"/>
      <c r="I338" s="9"/>
      <c r="S338" s="10"/>
      <c r="T338" s="10"/>
      <c r="V338" s="11"/>
      <c r="W338" s="11"/>
      <c r="AE338" s="10"/>
    </row>
    <row r="339" spans="5:31" ht="12.75">
      <c r="E339" s="8"/>
      <c r="F339" s="8"/>
      <c r="H339" s="9"/>
      <c r="I339" s="9"/>
      <c r="S339" s="10"/>
      <c r="T339" s="10"/>
      <c r="V339" s="11"/>
      <c r="W339" s="11"/>
      <c r="AE339" s="10"/>
    </row>
    <row r="340" spans="5:31" ht="12.75">
      <c r="E340" s="8"/>
      <c r="F340" s="8"/>
      <c r="H340" s="9"/>
      <c r="I340" s="9"/>
      <c r="S340" s="10"/>
      <c r="T340" s="10"/>
      <c r="V340" s="11"/>
      <c r="W340" s="11"/>
      <c r="AE340" s="10"/>
    </row>
    <row r="341" spans="5:31" ht="12.75">
      <c r="E341" s="8"/>
      <c r="F341" s="8"/>
      <c r="H341" s="9"/>
      <c r="I341" s="9"/>
      <c r="S341" s="10"/>
      <c r="T341" s="10"/>
      <c r="V341" s="11"/>
      <c r="W341" s="11"/>
      <c r="AE341" s="10"/>
    </row>
    <row r="342" spans="5:31" ht="12.75">
      <c r="E342" s="8"/>
      <c r="F342" s="8"/>
      <c r="H342" s="9"/>
      <c r="I342" s="9"/>
      <c r="S342" s="10"/>
      <c r="T342" s="10"/>
      <c r="V342" s="11"/>
      <c r="W342" s="11"/>
      <c r="AE342" s="10"/>
    </row>
    <row r="343" spans="5:31" ht="12.75">
      <c r="E343" s="8"/>
      <c r="F343" s="8"/>
      <c r="H343" s="9"/>
      <c r="I343" s="9"/>
      <c r="S343" s="10"/>
      <c r="T343" s="10"/>
      <c r="V343" s="11"/>
      <c r="W343" s="11"/>
      <c r="AE343" s="10"/>
    </row>
    <row r="344" spans="5:41" ht="12.75">
      <c r="E344" s="8"/>
      <c r="F344" s="8"/>
      <c r="G344" s="10"/>
      <c r="H344" s="9"/>
      <c r="I344" s="9"/>
      <c r="J344" s="10"/>
      <c r="K344" s="10"/>
      <c r="L344" s="10"/>
      <c r="O344" s="10"/>
      <c r="P344" s="10"/>
      <c r="Q344" s="10"/>
      <c r="R344" s="18"/>
      <c r="S344" s="10"/>
      <c r="T344" s="10"/>
      <c r="U344" s="10"/>
      <c r="V344" s="10"/>
      <c r="W344" s="10"/>
      <c r="AE344" s="10"/>
      <c r="AF344" s="10"/>
      <c r="AG344" s="10"/>
      <c r="AH344" s="10"/>
      <c r="AI344" s="10"/>
      <c r="AK344" s="10"/>
      <c r="AL344" s="10"/>
      <c r="AM344" s="10"/>
      <c r="AN344" s="10"/>
      <c r="AO344" s="10"/>
    </row>
    <row r="345" spans="5:31" ht="12.75">
      <c r="E345" s="8"/>
      <c r="F345" s="8"/>
      <c r="H345" s="9"/>
      <c r="I345" s="9"/>
      <c r="S345" s="10"/>
      <c r="T345" s="10"/>
      <c r="V345" s="11"/>
      <c r="W345" s="11"/>
      <c r="AE345" s="10"/>
    </row>
    <row r="346" spans="5:31" ht="12.75">
      <c r="E346" s="8"/>
      <c r="F346" s="8"/>
      <c r="H346" s="9"/>
      <c r="I346" s="9"/>
      <c r="S346" s="10"/>
      <c r="T346" s="10"/>
      <c r="V346" s="11"/>
      <c r="W346" s="11"/>
      <c r="AE346" s="10"/>
    </row>
    <row r="347" spans="5:31" ht="12.75">
      <c r="E347" s="8"/>
      <c r="F347" s="8"/>
      <c r="H347" s="9"/>
      <c r="I347" s="9"/>
      <c r="S347" s="10"/>
      <c r="T347" s="10"/>
      <c r="V347" s="11"/>
      <c r="W347" s="11"/>
      <c r="AE347" s="10"/>
    </row>
    <row r="348" spans="5:31" ht="12.75">
      <c r="E348" s="8"/>
      <c r="F348" s="8"/>
      <c r="H348" s="9"/>
      <c r="I348" s="9"/>
      <c r="S348" s="10"/>
      <c r="T348" s="10"/>
      <c r="V348" s="11"/>
      <c r="W348" s="11"/>
      <c r="AE348" s="10"/>
    </row>
    <row r="349" spans="5:31" ht="12.75">
      <c r="E349" s="8"/>
      <c r="F349" s="8"/>
      <c r="H349" s="9"/>
      <c r="I349" s="9"/>
      <c r="S349" s="10"/>
      <c r="T349" s="10"/>
      <c r="V349" s="11"/>
      <c r="W349" s="11"/>
      <c r="AE349" s="10"/>
    </row>
    <row r="350" spans="5:31" ht="12.75">
      <c r="E350" s="8"/>
      <c r="F350" s="8"/>
      <c r="H350" s="9"/>
      <c r="I350" s="9"/>
      <c r="S350" s="10"/>
      <c r="T350" s="10"/>
      <c r="V350" s="11"/>
      <c r="W350" s="11"/>
      <c r="AE350" s="10"/>
    </row>
    <row r="351" spans="5:31" ht="12.75">
      <c r="E351" s="8"/>
      <c r="F351" s="8"/>
      <c r="H351" s="9"/>
      <c r="I351" s="9"/>
      <c r="S351" s="10"/>
      <c r="T351" s="10"/>
      <c r="V351" s="11"/>
      <c r="W351" s="11"/>
      <c r="AE351" s="10"/>
    </row>
    <row r="352" spans="5:31" ht="12.75">
      <c r="E352" s="8"/>
      <c r="F352" s="8"/>
      <c r="H352" s="9"/>
      <c r="I352" s="9"/>
      <c r="S352" s="10"/>
      <c r="T352" s="10"/>
      <c r="V352" s="11"/>
      <c r="W352" s="11"/>
      <c r="AE352" s="10"/>
    </row>
    <row r="353" spans="5:31" ht="12.75">
      <c r="E353" s="8"/>
      <c r="F353" s="8"/>
      <c r="H353" s="9"/>
      <c r="I353" s="9"/>
      <c r="S353" s="10"/>
      <c r="T353" s="10"/>
      <c r="V353" s="11"/>
      <c r="W353" s="11"/>
      <c r="AE353" s="10"/>
    </row>
    <row r="354" spans="5:31" ht="12.75">
      <c r="E354" s="8"/>
      <c r="F354" s="8"/>
      <c r="H354" s="9"/>
      <c r="I354" s="9"/>
      <c r="S354" s="10"/>
      <c r="T354" s="10"/>
      <c r="V354" s="11"/>
      <c r="W354" s="11"/>
      <c r="AE354" s="10"/>
    </row>
    <row r="355" spans="5:31" ht="12.75">
      <c r="E355" s="8"/>
      <c r="F355" s="8"/>
      <c r="H355" s="9"/>
      <c r="I355" s="9"/>
      <c r="S355" s="10"/>
      <c r="T355" s="10"/>
      <c r="V355" s="11"/>
      <c r="W355" s="11"/>
      <c r="AE355" s="10"/>
    </row>
    <row r="356" spans="5:31" ht="12.75">
      <c r="E356" s="8"/>
      <c r="F356" s="8"/>
      <c r="H356" s="9"/>
      <c r="I356" s="9"/>
      <c r="S356" s="10"/>
      <c r="T356" s="10"/>
      <c r="V356" s="11"/>
      <c r="W356" s="11"/>
      <c r="AE356" s="10"/>
    </row>
    <row r="357" spans="5:31" ht="12.75">
      <c r="E357" s="8"/>
      <c r="F357" s="8"/>
      <c r="H357" s="9"/>
      <c r="I357" s="9"/>
      <c r="S357" s="10"/>
      <c r="T357" s="10"/>
      <c r="V357" s="11"/>
      <c r="W357" s="11"/>
      <c r="AE357" s="10"/>
    </row>
    <row r="358" spans="5:31" ht="12.75">
      <c r="E358" s="8"/>
      <c r="F358" s="8"/>
      <c r="H358" s="9"/>
      <c r="I358" s="9"/>
      <c r="S358" s="10"/>
      <c r="T358" s="10"/>
      <c r="V358" s="11"/>
      <c r="W358" s="11"/>
      <c r="AE358" s="10"/>
    </row>
    <row r="359" spans="5:31" ht="12.75">
      <c r="E359" s="8"/>
      <c r="F359" s="8"/>
      <c r="H359" s="9"/>
      <c r="I359" s="9"/>
      <c r="S359" s="10"/>
      <c r="T359" s="10"/>
      <c r="V359" s="11"/>
      <c r="W359" s="11"/>
      <c r="AE359" s="10"/>
    </row>
    <row r="360" spans="5:31" ht="12.75">
      <c r="E360" s="8"/>
      <c r="F360" s="8"/>
      <c r="H360" s="9"/>
      <c r="I360" s="9"/>
      <c r="S360" s="10"/>
      <c r="T360" s="10"/>
      <c r="V360" s="11"/>
      <c r="W360" s="11"/>
      <c r="AE360" s="10"/>
    </row>
    <row r="361" spans="5:31" ht="12.75">
      <c r="E361" s="8"/>
      <c r="F361" s="8"/>
      <c r="H361" s="9"/>
      <c r="I361" s="9"/>
      <c r="S361" s="10"/>
      <c r="T361" s="10"/>
      <c r="V361" s="11"/>
      <c r="W361" s="11"/>
      <c r="AE361" s="10"/>
    </row>
    <row r="362" spans="5:31" ht="12.75">
      <c r="E362" s="8"/>
      <c r="F362" s="8"/>
      <c r="H362" s="9"/>
      <c r="I362" s="9"/>
      <c r="S362" s="10"/>
      <c r="T362" s="10"/>
      <c r="V362" s="11"/>
      <c r="W362" s="11"/>
      <c r="AE362" s="10"/>
    </row>
    <row r="363" spans="5:31" ht="12.75">
      <c r="E363" s="8"/>
      <c r="F363" s="8"/>
      <c r="H363" s="9"/>
      <c r="I363" s="9"/>
      <c r="S363" s="10"/>
      <c r="T363" s="10"/>
      <c r="V363" s="11"/>
      <c r="W363" s="11"/>
      <c r="AE363" s="10"/>
    </row>
    <row r="364" spans="5:31" ht="12.75">
      <c r="E364" s="8"/>
      <c r="F364" s="8"/>
      <c r="H364" s="9"/>
      <c r="I364" s="9"/>
      <c r="S364" s="10"/>
      <c r="T364" s="10"/>
      <c r="V364" s="11"/>
      <c r="W364" s="11"/>
      <c r="AE364" s="10"/>
    </row>
    <row r="365" spans="5:31" ht="12.75">
      <c r="E365" s="8"/>
      <c r="F365" s="8"/>
      <c r="H365" s="9"/>
      <c r="I365" s="9"/>
      <c r="S365" s="10"/>
      <c r="T365" s="10"/>
      <c r="V365" s="11"/>
      <c r="W365" s="11"/>
      <c r="AE365" s="10"/>
    </row>
    <row r="366" spans="5:31" ht="12.75">
      <c r="E366" s="8"/>
      <c r="F366" s="8"/>
      <c r="H366" s="9"/>
      <c r="I366" s="9"/>
      <c r="S366" s="10"/>
      <c r="T366" s="10"/>
      <c r="V366" s="11"/>
      <c r="W366" s="11"/>
      <c r="AE366" s="10"/>
    </row>
    <row r="367" spans="5:31" ht="12.75">
      <c r="E367" s="8"/>
      <c r="F367" s="8"/>
      <c r="H367" s="9"/>
      <c r="I367" s="9"/>
      <c r="S367" s="10"/>
      <c r="T367" s="10"/>
      <c r="V367" s="11"/>
      <c r="W367" s="11"/>
      <c r="AE367" s="10"/>
    </row>
    <row r="368" spans="5:31" ht="12.75">
      <c r="E368" s="8"/>
      <c r="F368" s="8"/>
      <c r="H368" s="9"/>
      <c r="I368" s="9"/>
      <c r="S368" s="10"/>
      <c r="T368" s="10"/>
      <c r="V368" s="11"/>
      <c r="W368" s="11"/>
      <c r="AE368" s="10"/>
    </row>
    <row r="369" spans="5:31" ht="12.75">
      <c r="E369" s="8"/>
      <c r="F369" s="8"/>
      <c r="H369" s="9"/>
      <c r="I369" s="9"/>
      <c r="S369" s="10"/>
      <c r="T369" s="10"/>
      <c r="V369" s="11"/>
      <c r="W369" s="11"/>
      <c r="AE369" s="10"/>
    </row>
    <row r="370" spans="5:31" ht="12.75">
      <c r="E370" s="8"/>
      <c r="F370" s="8"/>
      <c r="H370" s="9"/>
      <c r="I370" s="9"/>
      <c r="S370" s="10"/>
      <c r="T370" s="10"/>
      <c r="V370" s="11"/>
      <c r="W370" s="11"/>
      <c r="AE370" s="10"/>
    </row>
    <row r="371" spans="5:31" ht="12.75">
      <c r="E371" s="8"/>
      <c r="F371" s="8"/>
      <c r="H371" s="9"/>
      <c r="I371" s="9"/>
      <c r="S371" s="10"/>
      <c r="T371" s="10"/>
      <c r="V371" s="11"/>
      <c r="W371" s="11"/>
      <c r="AE371" s="10"/>
    </row>
    <row r="372" spans="5:31" ht="12.75">
      <c r="E372" s="8"/>
      <c r="F372" s="8"/>
      <c r="H372" s="9"/>
      <c r="I372" s="9"/>
      <c r="S372" s="10"/>
      <c r="T372" s="10"/>
      <c r="V372" s="11"/>
      <c r="W372" s="11"/>
      <c r="AE372" s="10"/>
    </row>
    <row r="373" spans="5:31" ht="12.75">
      <c r="E373" s="8"/>
      <c r="F373" s="8"/>
      <c r="H373" s="9"/>
      <c r="I373" s="9"/>
      <c r="S373" s="10"/>
      <c r="T373" s="10"/>
      <c r="V373" s="11"/>
      <c r="W373" s="11"/>
      <c r="AE373" s="10"/>
    </row>
    <row r="374" spans="5:31" ht="12.75">
      <c r="E374" s="8"/>
      <c r="F374" s="8"/>
      <c r="H374" s="9"/>
      <c r="I374" s="9"/>
      <c r="S374" s="10"/>
      <c r="T374" s="10"/>
      <c r="V374" s="11"/>
      <c r="W374" s="11"/>
      <c r="AE374" s="10"/>
    </row>
    <row r="375" spans="5:31" ht="12.75">
      <c r="E375" s="8"/>
      <c r="F375" s="8"/>
      <c r="H375" s="9"/>
      <c r="I375" s="9"/>
      <c r="S375" s="10"/>
      <c r="T375" s="10"/>
      <c r="V375" s="11"/>
      <c r="W375" s="11"/>
      <c r="AE375" s="10"/>
    </row>
    <row r="376" spans="5:31" ht="12.75">
      <c r="E376" s="8"/>
      <c r="F376" s="8"/>
      <c r="H376" s="9"/>
      <c r="I376" s="9"/>
      <c r="S376" s="10"/>
      <c r="T376" s="10"/>
      <c r="V376" s="11"/>
      <c r="W376" s="11"/>
      <c r="AE376" s="10"/>
    </row>
    <row r="377" spans="5:31" ht="12.75">
      <c r="E377" s="8"/>
      <c r="F377" s="8"/>
      <c r="H377" s="9"/>
      <c r="I377" s="9"/>
      <c r="S377" s="10"/>
      <c r="T377" s="10"/>
      <c r="V377" s="11"/>
      <c r="W377" s="11"/>
      <c r="AE377" s="10"/>
    </row>
    <row r="378" spans="5:31" ht="12.75">
      <c r="E378" s="8"/>
      <c r="F378" s="8"/>
      <c r="H378" s="9"/>
      <c r="I378" s="9"/>
      <c r="S378" s="10"/>
      <c r="T378" s="10"/>
      <c r="V378" s="11"/>
      <c r="W378" s="11"/>
      <c r="AE378" s="10"/>
    </row>
    <row r="379" spans="5:31" ht="12.75">
      <c r="E379" s="8"/>
      <c r="F379" s="8"/>
      <c r="H379" s="9"/>
      <c r="I379" s="9"/>
      <c r="S379" s="10"/>
      <c r="T379" s="10"/>
      <c r="V379" s="11"/>
      <c r="W379" s="11"/>
      <c r="AE379" s="10"/>
    </row>
    <row r="380" spans="5:31" ht="12.75">
      <c r="E380" s="8"/>
      <c r="F380" s="8"/>
      <c r="H380" s="9"/>
      <c r="I380" s="9"/>
      <c r="S380" s="10"/>
      <c r="T380" s="10"/>
      <c r="V380" s="11"/>
      <c r="W380" s="11"/>
      <c r="AE380" s="10"/>
    </row>
    <row r="381" spans="5:31" ht="12.75">
      <c r="E381" s="8"/>
      <c r="F381" s="8"/>
      <c r="H381" s="9"/>
      <c r="I381" s="9"/>
      <c r="S381" s="10"/>
      <c r="T381" s="10"/>
      <c r="V381" s="11"/>
      <c r="W381" s="11"/>
      <c r="AE381" s="10"/>
    </row>
    <row r="382" spans="5:31" ht="12.75">
      <c r="E382" s="8"/>
      <c r="F382" s="8"/>
      <c r="H382" s="9"/>
      <c r="I382" s="9"/>
      <c r="S382" s="10"/>
      <c r="T382" s="10"/>
      <c r="V382" s="11"/>
      <c r="W382" s="11"/>
      <c r="AE382" s="10"/>
    </row>
    <row r="383" spans="5:31" ht="12.75">
      <c r="E383" s="8"/>
      <c r="F383" s="8"/>
      <c r="H383" s="9"/>
      <c r="I383" s="9"/>
      <c r="S383" s="10"/>
      <c r="T383" s="10"/>
      <c r="V383" s="11"/>
      <c r="W383" s="11"/>
      <c r="AE383" s="10"/>
    </row>
    <row r="384" spans="5:31" ht="12.75">
      <c r="E384" s="8"/>
      <c r="F384" s="8"/>
      <c r="H384" s="9"/>
      <c r="I384" s="9"/>
      <c r="S384" s="10"/>
      <c r="T384" s="10"/>
      <c r="V384" s="11"/>
      <c r="W384" s="11"/>
      <c r="AE384" s="10"/>
    </row>
    <row r="385" spans="5:31" ht="12.75">
      <c r="E385" s="8"/>
      <c r="F385" s="8"/>
      <c r="H385" s="9"/>
      <c r="I385" s="9"/>
      <c r="S385" s="10"/>
      <c r="T385" s="10"/>
      <c r="V385" s="11"/>
      <c r="W385" s="11"/>
      <c r="AE385" s="10"/>
    </row>
    <row r="386" spans="5:31" ht="12.75">
      <c r="E386" s="8"/>
      <c r="F386" s="8"/>
      <c r="H386" s="9"/>
      <c r="I386" s="9"/>
      <c r="S386" s="10"/>
      <c r="T386" s="10"/>
      <c r="V386" s="11"/>
      <c r="W386" s="11"/>
      <c r="AE386" s="10"/>
    </row>
    <row r="387" spans="5:31" ht="12.75">
      <c r="E387" s="8"/>
      <c r="F387" s="8"/>
      <c r="H387" s="9"/>
      <c r="I387" s="9"/>
      <c r="S387" s="10"/>
      <c r="T387" s="10"/>
      <c r="V387" s="11"/>
      <c r="W387" s="11"/>
      <c r="AE387" s="10"/>
    </row>
    <row r="388" spans="5:31" ht="12.75">
      <c r="E388" s="8"/>
      <c r="F388" s="8"/>
      <c r="H388" s="9"/>
      <c r="I388" s="9"/>
      <c r="S388" s="10"/>
      <c r="T388" s="10"/>
      <c r="V388" s="11"/>
      <c r="W388" s="11"/>
      <c r="AE388" s="10"/>
    </row>
    <row r="389" spans="5:31" ht="12.75">
      <c r="E389" s="8"/>
      <c r="F389" s="8"/>
      <c r="H389" s="9"/>
      <c r="I389" s="9"/>
      <c r="S389" s="10"/>
      <c r="T389" s="10"/>
      <c r="V389" s="11"/>
      <c r="W389" s="11"/>
      <c r="AE389" s="10"/>
    </row>
    <row r="390" spans="5:31" ht="12.75">
      <c r="E390" s="8"/>
      <c r="F390" s="8"/>
      <c r="H390" s="9"/>
      <c r="I390" s="9"/>
      <c r="S390" s="10"/>
      <c r="T390" s="10"/>
      <c r="V390" s="11"/>
      <c r="W390" s="11"/>
      <c r="AE390" s="10"/>
    </row>
    <row r="391" spans="5:31" ht="12.75">
      <c r="E391" s="8"/>
      <c r="F391" s="8"/>
      <c r="H391" s="9"/>
      <c r="I391" s="9"/>
      <c r="S391" s="10"/>
      <c r="T391" s="10"/>
      <c r="V391" s="11"/>
      <c r="W391" s="11"/>
      <c r="AE391" s="10"/>
    </row>
    <row r="392" spans="5:31" ht="12.75">
      <c r="E392" s="8"/>
      <c r="F392" s="8"/>
      <c r="H392" s="9"/>
      <c r="I392" s="9"/>
      <c r="S392" s="10"/>
      <c r="T392" s="10"/>
      <c r="V392" s="11"/>
      <c r="W392" s="11"/>
      <c r="AE392" s="10"/>
    </row>
    <row r="393" spans="5:31" ht="12.75">
      <c r="E393" s="8"/>
      <c r="F393" s="8"/>
      <c r="H393" s="9"/>
      <c r="I393" s="9"/>
      <c r="S393" s="10"/>
      <c r="T393" s="10"/>
      <c r="V393" s="11"/>
      <c r="W393" s="11"/>
      <c r="AE393" s="10"/>
    </row>
    <row r="394" spans="5:31" ht="12.75">
      <c r="E394" s="8"/>
      <c r="F394" s="8"/>
      <c r="H394" s="9"/>
      <c r="I394" s="9"/>
      <c r="S394" s="10"/>
      <c r="T394" s="10"/>
      <c r="V394" s="11"/>
      <c r="W394" s="11"/>
      <c r="AE394" s="10"/>
    </row>
    <row r="395" spans="5:31" ht="12.75">
      <c r="E395" s="8"/>
      <c r="F395" s="8"/>
      <c r="H395" s="9"/>
      <c r="I395" s="9"/>
      <c r="S395" s="10"/>
      <c r="T395" s="10"/>
      <c r="V395" s="11"/>
      <c r="W395" s="11"/>
      <c r="AE395" s="10"/>
    </row>
    <row r="396" spans="5:31" ht="12.75">
      <c r="E396" s="8"/>
      <c r="F396" s="8"/>
      <c r="H396" s="9"/>
      <c r="I396" s="9"/>
      <c r="S396" s="10"/>
      <c r="T396" s="10"/>
      <c r="V396" s="11"/>
      <c r="W396" s="11"/>
      <c r="AE396" s="10"/>
    </row>
    <row r="397" spans="5:31" ht="12.75">
      <c r="E397" s="8"/>
      <c r="F397" s="8"/>
      <c r="H397" s="9"/>
      <c r="I397" s="9"/>
      <c r="S397" s="10"/>
      <c r="T397" s="10"/>
      <c r="V397" s="11"/>
      <c r="W397" s="11"/>
      <c r="AE397" s="10"/>
    </row>
    <row r="398" spans="5:31" ht="12.75">
      <c r="E398" s="8"/>
      <c r="F398" s="8"/>
      <c r="H398" s="9"/>
      <c r="I398" s="9"/>
      <c r="S398" s="10"/>
      <c r="T398" s="10"/>
      <c r="V398" s="11"/>
      <c r="W398" s="11"/>
      <c r="AE398" s="10"/>
    </row>
    <row r="399" spans="5:31" ht="12.75">
      <c r="E399" s="8"/>
      <c r="F399" s="8"/>
      <c r="H399" s="9"/>
      <c r="I399" s="9"/>
      <c r="S399" s="10"/>
      <c r="T399" s="10"/>
      <c r="V399" s="11"/>
      <c r="W399" s="11"/>
      <c r="AE399" s="10"/>
    </row>
    <row r="400" spans="5:31" ht="12.75">
      <c r="E400" s="8"/>
      <c r="F400" s="8"/>
      <c r="H400" s="9"/>
      <c r="I400" s="9"/>
      <c r="S400" s="10"/>
      <c r="T400" s="10"/>
      <c r="V400" s="11"/>
      <c r="W400" s="11"/>
      <c r="AE400" s="10"/>
    </row>
    <row r="401" spans="5:31" ht="12.75">
      <c r="E401" s="8"/>
      <c r="F401" s="8"/>
      <c r="H401" s="9"/>
      <c r="I401" s="9"/>
      <c r="S401" s="10"/>
      <c r="T401" s="10"/>
      <c r="V401" s="11"/>
      <c r="W401" s="11"/>
      <c r="AE401" s="10"/>
    </row>
    <row r="402" spans="5:31" ht="12.75">
      <c r="E402" s="8"/>
      <c r="F402" s="8"/>
      <c r="H402" s="9"/>
      <c r="I402" s="9"/>
      <c r="S402" s="10"/>
      <c r="T402" s="10"/>
      <c r="V402" s="11"/>
      <c r="W402" s="11"/>
      <c r="AE402" s="10"/>
    </row>
    <row r="403" spans="5:31" ht="12.75">
      <c r="E403" s="8"/>
      <c r="F403" s="8"/>
      <c r="H403" s="9"/>
      <c r="I403" s="9"/>
      <c r="S403" s="10"/>
      <c r="T403" s="10"/>
      <c r="V403" s="11"/>
      <c r="W403" s="11"/>
      <c r="AE403" s="10"/>
    </row>
    <row r="404" spans="5:31" ht="12.75">
      <c r="E404" s="8"/>
      <c r="F404" s="8"/>
      <c r="H404" s="9"/>
      <c r="I404" s="9"/>
      <c r="S404" s="10"/>
      <c r="T404" s="10"/>
      <c r="V404" s="11"/>
      <c r="W404" s="11"/>
      <c r="AE404" s="10"/>
    </row>
    <row r="405" spans="5:31" ht="12.75">
      <c r="E405" s="8"/>
      <c r="F405" s="8"/>
      <c r="H405" s="9"/>
      <c r="I405" s="9"/>
      <c r="S405" s="10"/>
      <c r="T405" s="10"/>
      <c r="V405" s="11"/>
      <c r="W405" s="11"/>
      <c r="AE405" s="10"/>
    </row>
    <row r="406" spans="5:31" ht="12.75">
      <c r="E406" s="8"/>
      <c r="F406" s="8"/>
      <c r="H406" s="9"/>
      <c r="I406" s="9"/>
      <c r="S406" s="10"/>
      <c r="T406" s="10"/>
      <c r="V406" s="11"/>
      <c r="W406" s="11"/>
      <c r="AE406" s="10"/>
    </row>
    <row r="407" spans="5:31" ht="12.75">
      <c r="E407" s="8"/>
      <c r="F407" s="8"/>
      <c r="H407" s="9"/>
      <c r="I407" s="9"/>
      <c r="S407" s="10"/>
      <c r="T407" s="10"/>
      <c r="V407" s="11"/>
      <c r="W407" s="11"/>
      <c r="AE407" s="10"/>
    </row>
    <row r="408" spans="5:31" ht="12.75">
      <c r="E408" s="8"/>
      <c r="F408" s="8"/>
      <c r="H408" s="9"/>
      <c r="I408" s="9"/>
      <c r="S408" s="10"/>
      <c r="T408" s="10"/>
      <c r="V408" s="11"/>
      <c r="W408" s="11"/>
      <c r="AE408" s="10"/>
    </row>
    <row r="409" spans="5:31" ht="12.75">
      <c r="E409" s="8"/>
      <c r="F409" s="8"/>
      <c r="H409" s="9"/>
      <c r="I409" s="9"/>
      <c r="S409" s="10"/>
      <c r="T409" s="10"/>
      <c r="V409" s="11"/>
      <c r="W409" s="11"/>
      <c r="AE409" s="10"/>
    </row>
    <row r="410" spans="5:31" ht="12.75">
      <c r="E410" s="8"/>
      <c r="F410" s="8"/>
      <c r="H410" s="9"/>
      <c r="I410" s="9"/>
      <c r="S410" s="10"/>
      <c r="T410" s="10"/>
      <c r="V410" s="11"/>
      <c r="W410" s="11"/>
      <c r="AE410" s="10"/>
    </row>
    <row r="411" spans="5:31" ht="12.75">
      <c r="E411" s="8"/>
      <c r="F411" s="8"/>
      <c r="H411" s="9"/>
      <c r="I411" s="9"/>
      <c r="S411" s="10"/>
      <c r="T411" s="10"/>
      <c r="V411" s="11"/>
      <c r="W411" s="11"/>
      <c r="AE411" s="10"/>
    </row>
    <row r="412" spans="5:31" ht="12.75">
      <c r="E412" s="8"/>
      <c r="F412" s="8"/>
      <c r="H412" s="9"/>
      <c r="I412" s="9"/>
      <c r="S412" s="10"/>
      <c r="T412" s="10"/>
      <c r="V412" s="11"/>
      <c r="W412" s="11"/>
      <c r="AE412" s="10"/>
    </row>
    <row r="413" spans="5:31" ht="12.75">
      <c r="E413" s="8"/>
      <c r="F413" s="8"/>
      <c r="H413" s="9"/>
      <c r="I413" s="9"/>
      <c r="S413" s="10"/>
      <c r="T413" s="10"/>
      <c r="V413" s="11"/>
      <c r="W413" s="11"/>
      <c r="AE413" s="10"/>
    </row>
    <row r="414" spans="5:31" ht="12.75">
      <c r="E414" s="8"/>
      <c r="F414" s="8"/>
      <c r="H414" s="9"/>
      <c r="I414" s="9"/>
      <c r="S414" s="10"/>
      <c r="T414" s="10"/>
      <c r="V414" s="11"/>
      <c r="W414" s="11"/>
      <c r="AE414" s="10"/>
    </row>
    <row r="415" spans="5:31" ht="12.75">
      <c r="E415" s="8"/>
      <c r="F415" s="8"/>
      <c r="H415" s="9"/>
      <c r="I415" s="9"/>
      <c r="S415" s="10"/>
      <c r="T415" s="10"/>
      <c r="V415" s="11"/>
      <c r="W415" s="11"/>
      <c r="AE415" s="10"/>
    </row>
    <row r="416" spans="5:31" ht="12.75">
      <c r="E416" s="8"/>
      <c r="F416" s="8"/>
      <c r="H416" s="9"/>
      <c r="I416" s="9"/>
      <c r="S416" s="10"/>
      <c r="T416" s="10"/>
      <c r="V416" s="11"/>
      <c r="W416" s="11"/>
      <c r="AE416" s="10"/>
    </row>
    <row r="417" spans="5:31" ht="12.75">
      <c r="E417" s="8"/>
      <c r="F417" s="8"/>
      <c r="H417" s="9"/>
      <c r="I417" s="9"/>
      <c r="S417" s="10"/>
      <c r="T417" s="10"/>
      <c r="V417" s="11"/>
      <c r="W417" s="11"/>
      <c r="AE417" s="10"/>
    </row>
    <row r="418" spans="5:31" ht="12.75">
      <c r="E418" s="8"/>
      <c r="F418" s="8"/>
      <c r="H418" s="9"/>
      <c r="I418" s="9"/>
      <c r="S418" s="10"/>
      <c r="T418" s="10"/>
      <c r="V418" s="11"/>
      <c r="W418" s="11"/>
      <c r="AE418" s="10"/>
    </row>
    <row r="419" spans="5:31" ht="12.75">
      <c r="E419" s="8"/>
      <c r="F419" s="8"/>
      <c r="H419" s="9"/>
      <c r="I419" s="9"/>
      <c r="S419" s="10"/>
      <c r="T419" s="10"/>
      <c r="V419" s="11"/>
      <c r="W419" s="11"/>
      <c r="AE419" s="10"/>
    </row>
    <row r="420" spans="5:41" ht="12.75">
      <c r="E420" s="8"/>
      <c r="F420" s="8"/>
      <c r="G420" s="10"/>
      <c r="H420" s="9"/>
      <c r="I420" s="9"/>
      <c r="J420" s="10"/>
      <c r="K420" s="10"/>
      <c r="L420" s="10"/>
      <c r="O420" s="10"/>
      <c r="P420" s="10"/>
      <c r="Q420" s="10"/>
      <c r="R420" s="18"/>
      <c r="S420" s="10"/>
      <c r="T420" s="10"/>
      <c r="U420" s="10"/>
      <c r="V420" s="10"/>
      <c r="W420" s="10"/>
      <c r="AE420" s="10"/>
      <c r="AF420" s="10"/>
      <c r="AG420" s="10"/>
      <c r="AH420" s="10"/>
      <c r="AI420" s="10"/>
      <c r="AK420" s="10"/>
      <c r="AL420" s="10"/>
      <c r="AM420" s="10"/>
      <c r="AN420" s="10"/>
      <c r="AO420" s="10"/>
    </row>
    <row r="421" spans="5:31" ht="12.75">
      <c r="E421" s="8"/>
      <c r="F421" s="8"/>
      <c r="H421" s="9"/>
      <c r="I421" s="9"/>
      <c r="S421" s="10"/>
      <c r="T421" s="10"/>
      <c r="V421" s="11"/>
      <c r="W421" s="11"/>
      <c r="AE421" s="10"/>
    </row>
    <row r="422" spans="5:31" ht="12.75">
      <c r="E422" s="8"/>
      <c r="F422" s="8"/>
      <c r="H422" s="9"/>
      <c r="I422" s="9"/>
      <c r="S422" s="10"/>
      <c r="T422" s="10"/>
      <c r="V422" s="11"/>
      <c r="W422" s="11"/>
      <c r="AE422" s="10"/>
    </row>
    <row r="423" spans="5:31" ht="12.75">
      <c r="E423" s="8"/>
      <c r="F423" s="8"/>
      <c r="H423" s="9"/>
      <c r="I423" s="9"/>
      <c r="S423" s="10"/>
      <c r="T423" s="10"/>
      <c r="V423" s="11"/>
      <c r="W423" s="11"/>
      <c r="AE423" s="10"/>
    </row>
    <row r="424" spans="5:31" ht="12.75">
      <c r="E424" s="8"/>
      <c r="F424" s="8"/>
      <c r="H424" s="9"/>
      <c r="I424" s="9"/>
      <c r="S424" s="10"/>
      <c r="T424" s="10"/>
      <c r="V424" s="11"/>
      <c r="W424" s="11"/>
      <c r="AE424" s="10"/>
    </row>
    <row r="425" spans="5:31" ht="12.75">
      <c r="E425" s="8"/>
      <c r="F425" s="8"/>
      <c r="H425" s="9"/>
      <c r="I425" s="9"/>
      <c r="S425" s="10"/>
      <c r="T425" s="10"/>
      <c r="V425" s="11"/>
      <c r="W425" s="11"/>
      <c r="AE425" s="10"/>
    </row>
    <row r="426" spans="5:31" ht="12.75">
      <c r="E426" s="8"/>
      <c r="F426" s="8"/>
      <c r="H426" s="9"/>
      <c r="I426" s="9"/>
      <c r="S426" s="10"/>
      <c r="T426" s="10"/>
      <c r="V426" s="11"/>
      <c r="W426" s="11"/>
      <c r="AE426" s="10"/>
    </row>
    <row r="427" spans="5:31" ht="12.75">
      <c r="E427" s="8"/>
      <c r="F427" s="8"/>
      <c r="H427" s="9"/>
      <c r="I427" s="9"/>
      <c r="S427" s="10"/>
      <c r="T427" s="10"/>
      <c r="V427" s="11"/>
      <c r="W427" s="11"/>
      <c r="AE427" s="10"/>
    </row>
    <row r="428" spans="5:31" ht="12.75">
      <c r="E428" s="8"/>
      <c r="F428" s="8"/>
      <c r="H428" s="9"/>
      <c r="I428" s="9"/>
      <c r="S428" s="10"/>
      <c r="T428" s="10"/>
      <c r="V428" s="11"/>
      <c r="W428" s="11"/>
      <c r="AE428" s="10"/>
    </row>
    <row r="429" spans="5:31" ht="12.75">
      <c r="E429" s="8"/>
      <c r="F429" s="8"/>
      <c r="H429" s="9"/>
      <c r="I429" s="9"/>
      <c r="S429" s="10"/>
      <c r="T429" s="10"/>
      <c r="V429" s="11"/>
      <c r="W429" s="11"/>
      <c r="AE429" s="10"/>
    </row>
    <row r="430" spans="5:31" ht="12.75">
      <c r="E430" s="8"/>
      <c r="F430" s="8"/>
      <c r="H430" s="9"/>
      <c r="I430" s="9"/>
      <c r="S430" s="10"/>
      <c r="T430" s="10"/>
      <c r="V430" s="11"/>
      <c r="W430" s="11"/>
      <c r="AE430" s="10"/>
    </row>
    <row r="431" spans="5:31" ht="12.75">
      <c r="E431" s="8"/>
      <c r="F431" s="8"/>
      <c r="H431" s="9"/>
      <c r="I431" s="9"/>
      <c r="S431" s="10"/>
      <c r="T431" s="10"/>
      <c r="V431" s="11"/>
      <c r="W431" s="11"/>
      <c r="AE431" s="10"/>
    </row>
    <row r="432" spans="5:31" ht="12.75">
      <c r="E432" s="8"/>
      <c r="F432" s="8"/>
      <c r="H432" s="9"/>
      <c r="I432" s="9"/>
      <c r="S432" s="10"/>
      <c r="T432" s="10"/>
      <c r="V432" s="11"/>
      <c r="W432" s="11"/>
      <c r="AE432" s="10"/>
    </row>
    <row r="433" spans="5:31" ht="12.75">
      <c r="E433" s="8"/>
      <c r="F433" s="8"/>
      <c r="H433" s="9"/>
      <c r="I433" s="9"/>
      <c r="S433" s="10"/>
      <c r="T433" s="10"/>
      <c r="V433" s="11"/>
      <c r="W433" s="11"/>
      <c r="AE433" s="10"/>
    </row>
    <row r="434" spans="5:31" ht="12.75">
      <c r="E434" s="8"/>
      <c r="F434" s="8"/>
      <c r="H434" s="9"/>
      <c r="I434" s="9"/>
      <c r="S434" s="10"/>
      <c r="T434" s="10"/>
      <c r="V434" s="11"/>
      <c r="W434" s="11"/>
      <c r="AE434" s="10"/>
    </row>
    <row r="435" spans="5:31" ht="12.75">
      <c r="E435" s="8"/>
      <c r="F435" s="8"/>
      <c r="H435" s="9"/>
      <c r="I435" s="9"/>
      <c r="S435" s="10"/>
      <c r="T435" s="10"/>
      <c r="V435" s="11"/>
      <c r="W435" s="11"/>
      <c r="AE435" s="10"/>
    </row>
    <row r="436" spans="5:31" ht="12.75">
      <c r="E436" s="8"/>
      <c r="F436" s="8"/>
      <c r="H436" s="9"/>
      <c r="I436" s="9"/>
      <c r="S436" s="10"/>
      <c r="T436" s="10"/>
      <c r="V436" s="11"/>
      <c r="W436" s="11"/>
      <c r="AE436" s="10"/>
    </row>
    <row r="437" spans="5:31" ht="12.75">
      <c r="E437" s="8"/>
      <c r="F437" s="8"/>
      <c r="H437" s="9"/>
      <c r="I437" s="9"/>
      <c r="S437" s="10"/>
      <c r="T437" s="10"/>
      <c r="V437" s="11"/>
      <c r="W437" s="11"/>
      <c r="AE437" s="10"/>
    </row>
    <row r="438" spans="5:31" ht="12.75">
      <c r="E438" s="8"/>
      <c r="F438" s="8"/>
      <c r="H438" s="9"/>
      <c r="I438" s="9"/>
      <c r="S438" s="10"/>
      <c r="T438" s="10"/>
      <c r="V438" s="11"/>
      <c r="W438" s="11"/>
      <c r="AE438" s="10"/>
    </row>
    <row r="439" spans="5:31" ht="12.75">
      <c r="E439" s="8"/>
      <c r="F439" s="8"/>
      <c r="H439" s="9"/>
      <c r="I439" s="9"/>
      <c r="S439" s="10"/>
      <c r="T439" s="10"/>
      <c r="V439" s="11"/>
      <c r="W439" s="11"/>
      <c r="AE439" s="10"/>
    </row>
    <row r="440" spans="5:31" ht="12.75">
      <c r="E440" s="8"/>
      <c r="F440" s="8"/>
      <c r="H440" s="9"/>
      <c r="I440" s="9"/>
      <c r="S440" s="10"/>
      <c r="T440" s="10"/>
      <c r="V440" s="11"/>
      <c r="W440" s="11"/>
      <c r="AE440" s="10"/>
    </row>
    <row r="441" spans="5:31" ht="12.75">
      <c r="E441" s="8"/>
      <c r="F441" s="8"/>
      <c r="H441" s="9"/>
      <c r="I441" s="9"/>
      <c r="S441" s="10"/>
      <c r="T441" s="10"/>
      <c r="V441" s="11"/>
      <c r="W441" s="11"/>
      <c r="AE441" s="10"/>
    </row>
    <row r="442" spans="5:31" ht="12.75">
      <c r="E442" s="8"/>
      <c r="F442" s="8"/>
      <c r="H442" s="9"/>
      <c r="I442" s="9"/>
      <c r="S442" s="10"/>
      <c r="T442" s="10"/>
      <c r="V442" s="11"/>
      <c r="W442" s="11"/>
      <c r="AE442" s="10"/>
    </row>
    <row r="443" spans="5:31" ht="12.75">
      <c r="E443" s="8"/>
      <c r="F443" s="8"/>
      <c r="H443" s="9"/>
      <c r="I443" s="9"/>
      <c r="S443" s="10"/>
      <c r="T443" s="10"/>
      <c r="V443" s="11"/>
      <c r="W443" s="11"/>
      <c r="AE443" s="10"/>
    </row>
    <row r="444" spans="5:31" ht="12.75">
      <c r="E444" s="8"/>
      <c r="F444" s="8"/>
      <c r="H444" s="9"/>
      <c r="I444" s="9"/>
      <c r="S444" s="10"/>
      <c r="T444" s="10"/>
      <c r="V444" s="11"/>
      <c r="W444" s="11"/>
      <c r="AE444" s="10"/>
    </row>
    <row r="445" spans="5:31" ht="12.75">
      <c r="E445" s="8"/>
      <c r="F445" s="8"/>
      <c r="H445" s="9"/>
      <c r="I445" s="9"/>
      <c r="S445" s="10"/>
      <c r="T445" s="10"/>
      <c r="V445" s="11"/>
      <c r="W445" s="11"/>
      <c r="AE445" s="10"/>
    </row>
    <row r="446" spans="5:31" ht="12.75">
      <c r="E446" s="8"/>
      <c r="F446" s="8"/>
      <c r="H446" s="9"/>
      <c r="I446" s="9"/>
      <c r="S446" s="10"/>
      <c r="T446" s="10"/>
      <c r="V446" s="11"/>
      <c r="W446" s="11"/>
      <c r="AE446" s="10"/>
    </row>
    <row r="447" spans="5:31" ht="12.75">
      <c r="E447" s="8"/>
      <c r="F447" s="8"/>
      <c r="H447" s="9"/>
      <c r="I447" s="9"/>
      <c r="S447" s="10"/>
      <c r="T447" s="10"/>
      <c r="V447" s="11"/>
      <c r="W447" s="11"/>
      <c r="AE447" s="10"/>
    </row>
    <row r="448" spans="5:31" ht="12.75">
      <c r="E448" s="8"/>
      <c r="F448" s="8"/>
      <c r="H448" s="9"/>
      <c r="I448" s="9"/>
      <c r="S448" s="10"/>
      <c r="T448" s="10"/>
      <c r="V448" s="11"/>
      <c r="W448" s="11"/>
      <c r="AE448" s="10"/>
    </row>
    <row r="449" spans="5:31" ht="12.75">
      <c r="E449" s="8"/>
      <c r="F449" s="8"/>
      <c r="H449" s="9"/>
      <c r="I449" s="9"/>
      <c r="S449" s="10"/>
      <c r="T449" s="10"/>
      <c r="V449" s="11"/>
      <c r="W449" s="11"/>
      <c r="AE449" s="10"/>
    </row>
    <row r="450" spans="5:31" ht="12.75">
      <c r="E450" s="8"/>
      <c r="F450" s="8"/>
      <c r="H450" s="9"/>
      <c r="I450" s="9"/>
      <c r="S450" s="10"/>
      <c r="T450" s="10"/>
      <c r="V450" s="11"/>
      <c r="W450" s="11"/>
      <c r="AE450" s="10"/>
    </row>
    <row r="451" spans="5:31" ht="12.75">
      <c r="E451" s="8"/>
      <c r="F451" s="8"/>
      <c r="H451" s="9"/>
      <c r="I451" s="9"/>
      <c r="S451" s="10"/>
      <c r="T451" s="10"/>
      <c r="V451" s="11"/>
      <c r="W451" s="11"/>
      <c r="AE451" s="10"/>
    </row>
    <row r="452" spans="5:31" ht="12.75">
      <c r="E452" s="8"/>
      <c r="F452" s="8"/>
      <c r="H452" s="9"/>
      <c r="I452" s="9"/>
      <c r="S452" s="10"/>
      <c r="T452" s="10"/>
      <c r="V452" s="11"/>
      <c r="W452" s="11"/>
      <c r="AE452" s="10"/>
    </row>
    <row r="453" spans="5:31" ht="12.75">
      <c r="E453" s="8"/>
      <c r="F453" s="8"/>
      <c r="H453" s="9"/>
      <c r="I453" s="9"/>
      <c r="S453" s="10"/>
      <c r="T453" s="10"/>
      <c r="V453" s="11"/>
      <c r="W453" s="11"/>
      <c r="AE453" s="10"/>
    </row>
    <row r="454" spans="5:31" ht="12.75">
      <c r="E454" s="8"/>
      <c r="F454" s="8"/>
      <c r="H454" s="9"/>
      <c r="I454" s="9"/>
      <c r="S454" s="10"/>
      <c r="T454" s="10"/>
      <c r="V454" s="11"/>
      <c r="W454" s="11"/>
      <c r="AE454" s="10"/>
    </row>
    <row r="455" spans="5:31" ht="12.75">
      <c r="E455" s="8"/>
      <c r="F455" s="8"/>
      <c r="H455" s="9"/>
      <c r="I455" s="9"/>
      <c r="S455" s="10"/>
      <c r="T455" s="10"/>
      <c r="V455" s="11"/>
      <c r="W455" s="11"/>
      <c r="AE455" s="10"/>
    </row>
    <row r="456" spans="5:31" ht="12.75">
      <c r="E456" s="8"/>
      <c r="F456" s="8"/>
      <c r="H456" s="9"/>
      <c r="I456" s="9"/>
      <c r="S456" s="10"/>
      <c r="T456" s="10"/>
      <c r="V456" s="11"/>
      <c r="W456" s="11"/>
      <c r="AE456" s="10"/>
    </row>
    <row r="457" spans="5:31" ht="12.75">
      <c r="E457" s="8"/>
      <c r="F457" s="8"/>
      <c r="H457" s="9"/>
      <c r="I457" s="9"/>
      <c r="S457" s="10"/>
      <c r="T457" s="10"/>
      <c r="V457" s="11"/>
      <c r="W457" s="11"/>
      <c r="AE457" s="10"/>
    </row>
    <row r="458" spans="5:31" ht="12.75">
      <c r="E458" s="8"/>
      <c r="F458" s="8"/>
      <c r="H458" s="9"/>
      <c r="I458" s="9"/>
      <c r="S458" s="10"/>
      <c r="T458" s="10"/>
      <c r="V458" s="11"/>
      <c r="W458" s="11"/>
      <c r="AE458" s="10"/>
    </row>
    <row r="459" spans="5:31" ht="12.75">
      <c r="E459" s="8"/>
      <c r="F459" s="8"/>
      <c r="H459" s="9"/>
      <c r="I459" s="9"/>
      <c r="S459" s="10"/>
      <c r="T459" s="10"/>
      <c r="V459" s="11"/>
      <c r="W459" s="11"/>
      <c r="AE459" s="10"/>
    </row>
    <row r="460" spans="5:31" ht="12.75">
      <c r="E460" s="8"/>
      <c r="F460" s="8"/>
      <c r="H460" s="9"/>
      <c r="I460" s="9"/>
      <c r="S460" s="10"/>
      <c r="T460" s="10"/>
      <c r="V460" s="11"/>
      <c r="W460" s="11"/>
      <c r="AE460" s="10"/>
    </row>
    <row r="461" spans="5:31" ht="12.75">
      <c r="E461" s="8"/>
      <c r="F461" s="8"/>
      <c r="H461" s="9"/>
      <c r="I461" s="9"/>
      <c r="S461" s="10"/>
      <c r="T461" s="10"/>
      <c r="V461" s="11"/>
      <c r="W461" s="11"/>
      <c r="AE461" s="10"/>
    </row>
    <row r="462" spans="5:31" ht="12.75">
      <c r="E462" s="8"/>
      <c r="F462" s="8"/>
      <c r="H462" s="9"/>
      <c r="I462" s="9"/>
      <c r="S462" s="10"/>
      <c r="T462" s="10"/>
      <c r="V462" s="11"/>
      <c r="W462" s="11"/>
      <c r="AE462" s="10"/>
    </row>
    <row r="463" spans="5:31" ht="12.75">
      <c r="E463" s="8"/>
      <c r="F463" s="8"/>
      <c r="H463" s="9"/>
      <c r="I463" s="9"/>
      <c r="S463" s="10"/>
      <c r="T463" s="10"/>
      <c r="V463" s="11"/>
      <c r="W463" s="11"/>
      <c r="AE463" s="10"/>
    </row>
    <row r="464" spans="5:31" ht="12.75">
      <c r="E464" s="8"/>
      <c r="F464" s="8"/>
      <c r="H464" s="9"/>
      <c r="I464" s="9"/>
      <c r="S464" s="10"/>
      <c r="T464" s="10"/>
      <c r="V464" s="11"/>
      <c r="W464" s="11"/>
      <c r="AE464" s="10"/>
    </row>
    <row r="465" spans="5:31" ht="12.75">
      <c r="E465" s="8"/>
      <c r="F465" s="8"/>
      <c r="H465" s="9"/>
      <c r="I465" s="9"/>
      <c r="S465" s="10"/>
      <c r="T465" s="10"/>
      <c r="V465" s="11"/>
      <c r="W465" s="11"/>
      <c r="AE465" s="10"/>
    </row>
    <row r="466" spans="5:31" ht="12.75">
      <c r="E466" s="8"/>
      <c r="F466" s="8"/>
      <c r="H466" s="9"/>
      <c r="I466" s="9"/>
      <c r="S466" s="10"/>
      <c r="T466" s="10"/>
      <c r="V466" s="11"/>
      <c r="W466" s="11"/>
      <c r="AE466" s="10"/>
    </row>
    <row r="467" spans="5:31" ht="12.75">
      <c r="E467" s="8"/>
      <c r="F467" s="8"/>
      <c r="H467" s="9"/>
      <c r="I467" s="9"/>
      <c r="S467" s="10"/>
      <c r="T467" s="10"/>
      <c r="V467" s="11"/>
      <c r="W467" s="11"/>
      <c r="AE467" s="10"/>
    </row>
    <row r="468" spans="5:31" ht="12.75">
      <c r="E468" s="8"/>
      <c r="F468" s="8"/>
      <c r="H468" s="9"/>
      <c r="I468" s="9"/>
      <c r="S468" s="10"/>
      <c r="T468" s="10"/>
      <c r="V468" s="11"/>
      <c r="W468" s="11"/>
      <c r="AE468" s="10"/>
    </row>
    <row r="469" spans="5:31" ht="12.75">
      <c r="E469" s="8"/>
      <c r="F469" s="8"/>
      <c r="H469" s="9"/>
      <c r="I469" s="9"/>
      <c r="S469" s="10"/>
      <c r="T469" s="10"/>
      <c r="V469" s="11"/>
      <c r="W469" s="11"/>
      <c r="AE469" s="10"/>
    </row>
    <row r="470" spans="5:31" ht="12.75">
      <c r="E470" s="8"/>
      <c r="F470" s="8"/>
      <c r="H470" s="9"/>
      <c r="I470" s="9"/>
      <c r="S470" s="10"/>
      <c r="T470" s="10"/>
      <c r="V470" s="11"/>
      <c r="W470" s="11"/>
      <c r="AE470" s="10"/>
    </row>
    <row r="471" spans="5:31" ht="12.75">
      <c r="E471" s="8"/>
      <c r="F471" s="8"/>
      <c r="H471" s="9"/>
      <c r="I471" s="9"/>
      <c r="S471" s="10"/>
      <c r="T471" s="10"/>
      <c r="V471" s="11"/>
      <c r="W471" s="11"/>
      <c r="AE471" s="10"/>
    </row>
    <row r="472" spans="5:31" ht="12.75">
      <c r="E472" s="8"/>
      <c r="F472" s="8"/>
      <c r="H472" s="9"/>
      <c r="I472" s="9"/>
      <c r="S472" s="10"/>
      <c r="T472" s="10"/>
      <c r="V472" s="11"/>
      <c r="W472" s="11"/>
      <c r="AE472" s="10"/>
    </row>
    <row r="473" spans="5:31" ht="12.75">
      <c r="E473" s="8"/>
      <c r="F473" s="8"/>
      <c r="H473" s="9"/>
      <c r="I473" s="9"/>
      <c r="S473" s="10"/>
      <c r="T473" s="10"/>
      <c r="V473" s="11"/>
      <c r="W473" s="11"/>
      <c r="AE473" s="10"/>
    </row>
    <row r="474" spans="5:31" ht="12.75">
      <c r="E474" s="8"/>
      <c r="F474" s="8"/>
      <c r="H474" s="9"/>
      <c r="I474" s="9"/>
      <c r="S474" s="10"/>
      <c r="T474" s="10"/>
      <c r="V474" s="11"/>
      <c r="W474" s="11"/>
      <c r="AE474" s="10"/>
    </row>
    <row r="475" spans="5:31" ht="12.75">
      <c r="E475" s="8"/>
      <c r="F475" s="8"/>
      <c r="H475" s="9"/>
      <c r="I475" s="9"/>
      <c r="S475" s="10"/>
      <c r="T475" s="10"/>
      <c r="V475" s="11"/>
      <c r="W475" s="11"/>
      <c r="AE475" s="10"/>
    </row>
    <row r="476" spans="5:31" ht="12.75">
      <c r="E476" s="8"/>
      <c r="F476" s="8"/>
      <c r="H476" s="9"/>
      <c r="I476" s="9"/>
      <c r="S476" s="10"/>
      <c r="T476" s="10"/>
      <c r="V476" s="11"/>
      <c r="W476" s="11"/>
      <c r="AE476" s="10"/>
    </row>
    <row r="477" spans="5:31" ht="12.75">
      <c r="E477" s="8"/>
      <c r="F477" s="8"/>
      <c r="H477" s="9"/>
      <c r="I477" s="9"/>
      <c r="S477" s="10"/>
      <c r="T477" s="10"/>
      <c r="V477" s="11"/>
      <c r="W477" s="11"/>
      <c r="AE477" s="10"/>
    </row>
    <row r="478" spans="5:31" ht="12.75">
      <c r="E478" s="8"/>
      <c r="F478" s="8"/>
      <c r="H478" s="9"/>
      <c r="I478" s="9"/>
      <c r="S478" s="10"/>
      <c r="T478" s="10"/>
      <c r="V478" s="11"/>
      <c r="W478" s="11"/>
      <c r="AE478" s="10"/>
    </row>
    <row r="479" spans="5:31" ht="12.75">
      <c r="E479" s="8"/>
      <c r="F479" s="8"/>
      <c r="H479" s="9"/>
      <c r="I479" s="9"/>
      <c r="S479" s="10"/>
      <c r="T479" s="10"/>
      <c r="V479" s="11"/>
      <c r="W479" s="11"/>
      <c r="AE479" s="10"/>
    </row>
    <row r="480" spans="5:31" ht="12.75">
      <c r="E480" s="8"/>
      <c r="F480" s="8"/>
      <c r="H480" s="9"/>
      <c r="I480" s="9"/>
      <c r="S480" s="10"/>
      <c r="T480" s="10"/>
      <c r="V480" s="11"/>
      <c r="W480" s="11"/>
      <c r="AE480" s="10"/>
    </row>
    <row r="481" spans="5:31" ht="12.75">
      <c r="E481" s="8"/>
      <c r="F481" s="8"/>
      <c r="H481" s="9"/>
      <c r="I481" s="9"/>
      <c r="S481" s="10"/>
      <c r="T481" s="10"/>
      <c r="V481" s="11"/>
      <c r="W481" s="11"/>
      <c r="AE481" s="10"/>
    </row>
    <row r="482" spans="5:31" ht="12.75">
      <c r="E482" s="8"/>
      <c r="F482" s="8"/>
      <c r="H482" s="9"/>
      <c r="I482" s="9"/>
      <c r="S482" s="10"/>
      <c r="T482" s="10"/>
      <c r="V482" s="11"/>
      <c r="W482" s="11"/>
      <c r="AE482" s="10"/>
    </row>
    <row r="483" spans="5:31" ht="12.75">
      <c r="E483" s="8"/>
      <c r="F483" s="8"/>
      <c r="H483" s="9"/>
      <c r="I483" s="9"/>
      <c r="S483" s="10"/>
      <c r="T483" s="10"/>
      <c r="V483" s="11"/>
      <c r="W483" s="11"/>
      <c r="AE483" s="10"/>
    </row>
    <row r="484" spans="5:31" ht="12.75">
      <c r="E484" s="8"/>
      <c r="F484" s="8"/>
      <c r="H484" s="9"/>
      <c r="I484" s="9"/>
      <c r="S484" s="10"/>
      <c r="T484" s="10"/>
      <c r="V484" s="11"/>
      <c r="W484" s="11"/>
      <c r="AE484" s="10"/>
    </row>
    <row r="485" spans="5:31" ht="12.75">
      <c r="E485" s="8"/>
      <c r="F485" s="8"/>
      <c r="H485" s="9"/>
      <c r="I485" s="9"/>
      <c r="S485" s="10"/>
      <c r="T485" s="10"/>
      <c r="V485" s="11"/>
      <c r="W485" s="11"/>
      <c r="AE485" s="10"/>
    </row>
    <row r="486" spans="5:31" ht="12.75">
      <c r="E486" s="8"/>
      <c r="F486" s="8"/>
      <c r="H486" s="9"/>
      <c r="I486" s="9"/>
      <c r="S486" s="10"/>
      <c r="T486" s="10"/>
      <c r="V486" s="11"/>
      <c r="W486" s="11"/>
      <c r="AE486" s="10"/>
    </row>
    <row r="487" spans="5:31" ht="12.75">
      <c r="E487" s="8"/>
      <c r="F487" s="8"/>
      <c r="H487" s="9"/>
      <c r="I487" s="9"/>
      <c r="S487" s="10"/>
      <c r="T487" s="10"/>
      <c r="V487" s="11"/>
      <c r="W487" s="11"/>
      <c r="AE487" s="10"/>
    </row>
    <row r="488" spans="5:31" ht="12.75">
      <c r="E488" s="8"/>
      <c r="F488" s="8"/>
      <c r="H488" s="9"/>
      <c r="I488" s="9"/>
      <c r="S488" s="10"/>
      <c r="T488" s="10"/>
      <c r="V488" s="11"/>
      <c r="W488" s="11"/>
      <c r="AE488" s="10"/>
    </row>
    <row r="489" spans="5:31" ht="12.75">
      <c r="E489" s="8"/>
      <c r="F489" s="8"/>
      <c r="H489" s="9"/>
      <c r="I489" s="9"/>
      <c r="S489" s="10"/>
      <c r="T489" s="10"/>
      <c r="V489" s="11"/>
      <c r="W489" s="11"/>
      <c r="AE489" s="10"/>
    </row>
    <row r="490" spans="5:31" ht="12.75">
      <c r="E490" s="8"/>
      <c r="F490" s="8"/>
      <c r="H490" s="9"/>
      <c r="I490" s="9"/>
      <c r="S490" s="10"/>
      <c r="T490" s="10"/>
      <c r="V490" s="11"/>
      <c r="W490" s="11"/>
      <c r="AE490" s="10"/>
    </row>
    <row r="491" spans="5:31" ht="12.75">
      <c r="E491" s="8"/>
      <c r="F491" s="8"/>
      <c r="H491" s="9"/>
      <c r="I491" s="9"/>
      <c r="S491" s="10"/>
      <c r="T491" s="10"/>
      <c r="V491" s="11"/>
      <c r="W491" s="11"/>
      <c r="AE491" s="10"/>
    </row>
    <row r="492" spans="5:31" ht="12.75">
      <c r="E492" s="8"/>
      <c r="F492" s="8"/>
      <c r="H492" s="9"/>
      <c r="I492" s="9"/>
      <c r="S492" s="10"/>
      <c r="T492" s="10"/>
      <c r="V492" s="11"/>
      <c r="W492" s="11"/>
      <c r="AE492" s="10"/>
    </row>
    <row r="493" spans="5:31" ht="12.75">
      <c r="E493" s="8"/>
      <c r="F493" s="8"/>
      <c r="H493" s="9"/>
      <c r="I493" s="9"/>
      <c r="S493" s="10"/>
      <c r="T493" s="10"/>
      <c r="V493" s="11"/>
      <c r="W493" s="11"/>
      <c r="AE493" s="10"/>
    </row>
    <row r="494" spans="5:31" ht="12.75">
      <c r="E494" s="8"/>
      <c r="F494" s="8"/>
      <c r="H494" s="9"/>
      <c r="I494" s="9"/>
      <c r="S494" s="10"/>
      <c r="T494" s="10"/>
      <c r="V494" s="11"/>
      <c r="W494" s="11"/>
      <c r="AE494" s="10"/>
    </row>
    <row r="495" spans="5:31" ht="12.75">
      <c r="E495" s="8"/>
      <c r="F495" s="8"/>
      <c r="H495" s="9"/>
      <c r="I495" s="9"/>
      <c r="S495" s="10"/>
      <c r="T495" s="10"/>
      <c r="V495" s="11"/>
      <c r="W495" s="11"/>
      <c r="AE495" s="10"/>
    </row>
    <row r="496" spans="5:31" ht="12.75">
      <c r="E496" s="8"/>
      <c r="F496" s="8"/>
      <c r="H496" s="9"/>
      <c r="I496" s="9"/>
      <c r="S496" s="10"/>
      <c r="T496" s="10"/>
      <c r="V496" s="11"/>
      <c r="W496" s="11"/>
      <c r="AE496" s="10"/>
    </row>
    <row r="497" spans="5:31" ht="12.75">
      <c r="E497" s="8"/>
      <c r="F497" s="8"/>
      <c r="H497" s="9"/>
      <c r="I497" s="9"/>
      <c r="S497" s="10"/>
      <c r="T497" s="10"/>
      <c r="V497" s="11"/>
      <c r="W497" s="11"/>
      <c r="AE497" s="10"/>
    </row>
    <row r="498" spans="5:41" ht="12.75">
      <c r="E498" s="8"/>
      <c r="F498" s="8"/>
      <c r="G498" s="10"/>
      <c r="H498" s="9"/>
      <c r="I498" s="9"/>
      <c r="J498" s="10"/>
      <c r="K498" s="10"/>
      <c r="L498" s="10"/>
      <c r="O498" s="10"/>
      <c r="P498" s="10"/>
      <c r="Q498" s="10"/>
      <c r="R498" s="18"/>
      <c r="S498" s="10"/>
      <c r="T498" s="10"/>
      <c r="U498" s="10"/>
      <c r="V498" s="10"/>
      <c r="W498" s="10"/>
      <c r="AE498" s="10"/>
      <c r="AF498" s="10"/>
      <c r="AG498" s="10"/>
      <c r="AH498" s="10"/>
      <c r="AI498" s="10"/>
      <c r="AK498" s="10"/>
      <c r="AL498" s="10"/>
      <c r="AM498" s="10"/>
      <c r="AN498" s="10"/>
      <c r="AO498" s="10"/>
    </row>
    <row r="499" spans="5:31" ht="12.75">
      <c r="E499" s="8"/>
      <c r="F499" s="8"/>
      <c r="H499" s="9"/>
      <c r="I499" s="9"/>
      <c r="S499" s="10"/>
      <c r="T499" s="10"/>
      <c r="V499" s="11"/>
      <c r="W499" s="11"/>
      <c r="AE499" s="10"/>
    </row>
    <row r="500" spans="5:31" ht="12.75">
      <c r="E500" s="8"/>
      <c r="F500" s="8"/>
      <c r="H500" s="9"/>
      <c r="I500" s="9"/>
      <c r="S500" s="10"/>
      <c r="T500" s="10"/>
      <c r="V500" s="11"/>
      <c r="W500" s="11"/>
      <c r="AE500" s="10"/>
    </row>
    <row r="501" spans="5:31" ht="12.75">
      <c r="E501" s="8"/>
      <c r="F501" s="8"/>
      <c r="H501" s="9"/>
      <c r="I501" s="9"/>
      <c r="S501" s="10"/>
      <c r="T501" s="10"/>
      <c r="V501" s="11"/>
      <c r="W501" s="11"/>
      <c r="AE501" s="10"/>
    </row>
    <row r="502" spans="5:31" ht="12.75">
      <c r="E502" s="8"/>
      <c r="F502" s="8"/>
      <c r="H502" s="9"/>
      <c r="I502" s="9"/>
      <c r="S502" s="10"/>
      <c r="T502" s="10"/>
      <c r="V502" s="11"/>
      <c r="W502" s="11"/>
      <c r="AE502" s="10"/>
    </row>
    <row r="503" spans="5:31" ht="12.75">
      <c r="E503" s="8"/>
      <c r="F503" s="8"/>
      <c r="H503" s="9"/>
      <c r="I503" s="9"/>
      <c r="S503" s="10"/>
      <c r="T503" s="10"/>
      <c r="V503" s="11"/>
      <c r="W503" s="11"/>
      <c r="AE503" s="10"/>
    </row>
    <row r="504" spans="5:31" ht="12.75">
      <c r="E504" s="8"/>
      <c r="F504" s="8"/>
      <c r="H504" s="9"/>
      <c r="I504" s="9"/>
      <c r="S504" s="10"/>
      <c r="T504" s="10"/>
      <c r="V504" s="11"/>
      <c r="W504" s="11"/>
      <c r="AE504" s="10"/>
    </row>
    <row r="505" spans="5:31" ht="12.75">
      <c r="E505" s="8"/>
      <c r="F505" s="8"/>
      <c r="H505" s="9"/>
      <c r="I505" s="9"/>
      <c r="S505" s="10"/>
      <c r="T505" s="10"/>
      <c r="V505" s="11"/>
      <c r="W505" s="11"/>
      <c r="AE505" s="10"/>
    </row>
    <row r="506" spans="5:31" ht="12.75">
      <c r="E506" s="8"/>
      <c r="F506" s="8"/>
      <c r="H506" s="9"/>
      <c r="I506" s="9"/>
      <c r="S506" s="10"/>
      <c r="T506" s="10"/>
      <c r="V506" s="11"/>
      <c r="W506" s="11"/>
      <c r="AE506" s="10"/>
    </row>
    <row r="507" spans="5:31" ht="12.75">
      <c r="E507" s="8"/>
      <c r="F507" s="8"/>
      <c r="H507" s="9"/>
      <c r="I507" s="9"/>
      <c r="S507" s="10"/>
      <c r="T507" s="10"/>
      <c r="V507" s="11"/>
      <c r="W507" s="11"/>
      <c r="AE507" s="10"/>
    </row>
    <row r="508" spans="5:31" ht="12.75">
      <c r="E508" s="8"/>
      <c r="F508" s="8"/>
      <c r="H508" s="9"/>
      <c r="I508" s="9"/>
      <c r="S508" s="10"/>
      <c r="T508" s="10"/>
      <c r="V508" s="11"/>
      <c r="W508" s="11"/>
      <c r="AE508" s="10"/>
    </row>
    <row r="509" spans="5:31" ht="12.75">
      <c r="E509" s="8"/>
      <c r="F509" s="8"/>
      <c r="H509" s="9"/>
      <c r="I509" s="9"/>
      <c r="S509" s="10"/>
      <c r="T509" s="10"/>
      <c r="V509" s="11"/>
      <c r="W509" s="11"/>
      <c r="AE509" s="10"/>
    </row>
    <row r="510" spans="5:31" ht="12.75">
      <c r="E510" s="8"/>
      <c r="F510" s="8"/>
      <c r="H510" s="9"/>
      <c r="I510" s="9"/>
      <c r="S510" s="10"/>
      <c r="T510" s="10"/>
      <c r="V510" s="11"/>
      <c r="W510" s="11"/>
      <c r="AE510" s="10"/>
    </row>
    <row r="511" spans="5:31" ht="12.75">
      <c r="E511" s="8"/>
      <c r="F511" s="8"/>
      <c r="H511" s="9"/>
      <c r="I511" s="9"/>
      <c r="S511" s="10"/>
      <c r="T511" s="10"/>
      <c r="V511" s="11"/>
      <c r="W511" s="11"/>
      <c r="AE511" s="10"/>
    </row>
    <row r="512" spans="5:31" ht="12.75">
      <c r="E512" s="8"/>
      <c r="F512" s="8"/>
      <c r="H512" s="9"/>
      <c r="I512" s="9"/>
      <c r="S512" s="10"/>
      <c r="T512" s="10"/>
      <c r="V512" s="11"/>
      <c r="W512" s="11"/>
      <c r="AE512" s="10"/>
    </row>
    <row r="513" spans="5:31" ht="12.75">
      <c r="E513" s="8"/>
      <c r="F513" s="8"/>
      <c r="H513" s="9"/>
      <c r="I513" s="9"/>
      <c r="S513" s="10"/>
      <c r="T513" s="10"/>
      <c r="V513" s="11"/>
      <c r="W513" s="11"/>
      <c r="AE513" s="10"/>
    </row>
    <row r="514" spans="5:31" ht="12.75">
      <c r="E514" s="8"/>
      <c r="F514" s="8"/>
      <c r="H514" s="9"/>
      <c r="I514" s="9"/>
      <c r="S514" s="10"/>
      <c r="T514" s="10"/>
      <c r="V514" s="11"/>
      <c r="W514" s="11"/>
      <c r="AE514" s="10"/>
    </row>
    <row r="515" spans="5:31" ht="12.75">
      <c r="E515" s="8"/>
      <c r="F515" s="8"/>
      <c r="H515" s="9"/>
      <c r="I515" s="9"/>
      <c r="S515" s="10"/>
      <c r="T515" s="10"/>
      <c r="V515" s="11"/>
      <c r="W515" s="11"/>
      <c r="AE515" s="10"/>
    </row>
    <row r="516" spans="5:31" ht="12.75">
      <c r="E516" s="8"/>
      <c r="F516" s="8"/>
      <c r="H516" s="9"/>
      <c r="I516" s="9"/>
      <c r="S516" s="10"/>
      <c r="T516" s="10"/>
      <c r="V516" s="11"/>
      <c r="W516" s="11"/>
      <c r="AE516" s="10"/>
    </row>
    <row r="517" spans="5:31" ht="12.75">
      <c r="E517" s="8"/>
      <c r="F517" s="8"/>
      <c r="H517" s="9"/>
      <c r="I517" s="9"/>
      <c r="S517" s="10"/>
      <c r="T517" s="10"/>
      <c r="V517" s="11"/>
      <c r="W517" s="11"/>
      <c r="AE517" s="10"/>
    </row>
    <row r="518" spans="5:31" ht="12.75">
      <c r="E518" s="8"/>
      <c r="F518" s="8"/>
      <c r="H518" s="9"/>
      <c r="I518" s="9"/>
      <c r="S518" s="10"/>
      <c r="T518" s="10"/>
      <c r="V518" s="11"/>
      <c r="W518" s="11"/>
      <c r="AE518" s="10"/>
    </row>
    <row r="519" spans="5:31" ht="12.75">
      <c r="E519" s="8"/>
      <c r="F519" s="8"/>
      <c r="H519" s="9"/>
      <c r="I519" s="9"/>
      <c r="S519" s="10"/>
      <c r="T519" s="10"/>
      <c r="V519" s="11"/>
      <c r="W519" s="11"/>
      <c r="AE519" s="10"/>
    </row>
    <row r="520" spans="5:31" ht="12.75">
      <c r="E520" s="8"/>
      <c r="F520" s="8"/>
      <c r="H520" s="9"/>
      <c r="I520" s="9"/>
      <c r="S520" s="10"/>
      <c r="T520" s="10"/>
      <c r="V520" s="11"/>
      <c r="W520" s="11"/>
      <c r="AE520" s="10"/>
    </row>
    <row r="521" spans="5:31" ht="12.75">
      <c r="E521" s="8"/>
      <c r="F521" s="8"/>
      <c r="H521" s="9"/>
      <c r="I521" s="9"/>
      <c r="S521" s="10"/>
      <c r="T521" s="10"/>
      <c r="V521" s="11"/>
      <c r="W521" s="11"/>
      <c r="AE521" s="10"/>
    </row>
    <row r="522" spans="5:31" ht="12.75">
      <c r="E522" s="8"/>
      <c r="F522" s="8"/>
      <c r="H522" s="9"/>
      <c r="I522" s="9"/>
      <c r="S522" s="10"/>
      <c r="T522" s="10"/>
      <c r="V522" s="11"/>
      <c r="W522" s="11"/>
      <c r="AE522" s="10"/>
    </row>
    <row r="523" spans="5:31" ht="12.75">
      <c r="E523" s="8"/>
      <c r="F523" s="8"/>
      <c r="H523" s="9"/>
      <c r="I523" s="9"/>
      <c r="S523" s="10"/>
      <c r="T523" s="10"/>
      <c r="V523" s="11"/>
      <c r="W523" s="11"/>
      <c r="AE523" s="10"/>
    </row>
    <row r="524" spans="5:31" ht="12.75">
      <c r="E524" s="8"/>
      <c r="F524" s="8"/>
      <c r="H524" s="9"/>
      <c r="I524" s="9"/>
      <c r="S524" s="10"/>
      <c r="T524" s="10"/>
      <c r="V524" s="11"/>
      <c r="W524" s="11"/>
      <c r="AE524" s="10"/>
    </row>
    <row r="525" spans="5:31" ht="12.75">
      <c r="E525" s="8"/>
      <c r="F525" s="8"/>
      <c r="H525" s="9"/>
      <c r="I525" s="9"/>
      <c r="S525" s="10"/>
      <c r="T525" s="10"/>
      <c r="V525" s="11"/>
      <c r="W525" s="11"/>
      <c r="AE525" s="10"/>
    </row>
    <row r="526" spans="5:31" ht="12.75">
      <c r="E526" s="8"/>
      <c r="F526" s="8"/>
      <c r="H526" s="9"/>
      <c r="I526" s="9"/>
      <c r="S526" s="10"/>
      <c r="T526" s="10"/>
      <c r="V526" s="11"/>
      <c r="W526" s="11"/>
      <c r="AE526" s="10"/>
    </row>
    <row r="527" spans="5:31" ht="12.75">
      <c r="E527" s="8"/>
      <c r="F527" s="8"/>
      <c r="H527" s="9"/>
      <c r="I527" s="9"/>
      <c r="S527" s="10"/>
      <c r="T527" s="10"/>
      <c r="V527" s="11"/>
      <c r="W527" s="11"/>
      <c r="AE527" s="10"/>
    </row>
    <row r="528" spans="5:41" ht="12.75">
      <c r="E528" s="8"/>
      <c r="F528" s="8"/>
      <c r="G528" s="10"/>
      <c r="H528" s="9"/>
      <c r="I528" s="9"/>
      <c r="J528" s="10"/>
      <c r="K528" s="10"/>
      <c r="L528" s="10"/>
      <c r="O528" s="10"/>
      <c r="P528" s="10"/>
      <c r="Q528" s="10"/>
      <c r="R528" s="18"/>
      <c r="S528" s="10"/>
      <c r="T528" s="10"/>
      <c r="U528" s="10"/>
      <c r="V528" s="10"/>
      <c r="W528" s="10"/>
      <c r="AE528" s="10"/>
      <c r="AF528" s="10"/>
      <c r="AG528" s="10"/>
      <c r="AH528" s="10"/>
      <c r="AI528" s="10"/>
      <c r="AK528" s="10"/>
      <c r="AL528" s="10"/>
      <c r="AM528" s="10"/>
      <c r="AN528" s="10"/>
      <c r="AO528" s="10"/>
    </row>
    <row r="529" spans="5:31" ht="12.75">
      <c r="E529" s="8"/>
      <c r="F529" s="8"/>
      <c r="H529" s="9"/>
      <c r="I529" s="9"/>
      <c r="S529" s="10"/>
      <c r="T529" s="10"/>
      <c r="V529" s="11"/>
      <c r="W529" s="11"/>
      <c r="AE529" s="10"/>
    </row>
    <row r="530" spans="5:31" ht="12.75">
      <c r="E530" s="8"/>
      <c r="F530" s="8"/>
      <c r="H530" s="9"/>
      <c r="I530" s="9"/>
      <c r="S530" s="10"/>
      <c r="T530" s="10"/>
      <c r="V530" s="11"/>
      <c r="W530" s="11"/>
      <c r="AE530" s="10"/>
    </row>
    <row r="531" spans="5:31" ht="12.75">
      <c r="E531" s="8"/>
      <c r="F531" s="8"/>
      <c r="H531" s="9"/>
      <c r="I531" s="9"/>
      <c r="S531" s="10"/>
      <c r="T531" s="10"/>
      <c r="V531" s="11"/>
      <c r="W531" s="11"/>
      <c r="AE531" s="10"/>
    </row>
    <row r="532" spans="5:31" ht="12.75">
      <c r="E532" s="8"/>
      <c r="F532" s="8"/>
      <c r="H532" s="9"/>
      <c r="I532" s="9"/>
      <c r="S532" s="10"/>
      <c r="T532" s="10"/>
      <c r="V532" s="11"/>
      <c r="W532" s="11"/>
      <c r="AE532" s="10"/>
    </row>
    <row r="533" spans="5:31" ht="12.75">
      <c r="E533" s="8"/>
      <c r="F533" s="8"/>
      <c r="H533" s="9"/>
      <c r="I533" s="9"/>
      <c r="S533" s="10"/>
      <c r="T533" s="10"/>
      <c r="V533" s="11"/>
      <c r="W533" s="11"/>
      <c r="AE533" s="10"/>
    </row>
    <row r="534" spans="5:31" ht="12.75">
      <c r="E534" s="8"/>
      <c r="F534" s="8"/>
      <c r="H534" s="9"/>
      <c r="I534" s="9"/>
      <c r="S534" s="10"/>
      <c r="T534" s="10"/>
      <c r="V534" s="11"/>
      <c r="W534" s="11"/>
      <c r="AE534" s="10"/>
    </row>
    <row r="535" spans="5:31" ht="12.75">
      <c r="E535" s="8"/>
      <c r="F535" s="8"/>
      <c r="H535" s="9"/>
      <c r="I535" s="9"/>
      <c r="S535" s="10"/>
      <c r="T535" s="10"/>
      <c r="V535" s="11"/>
      <c r="W535" s="11"/>
      <c r="AE535" s="10"/>
    </row>
    <row r="536" spans="5:31" ht="12.75">
      <c r="E536" s="8"/>
      <c r="F536" s="8"/>
      <c r="H536" s="9"/>
      <c r="I536" s="9"/>
      <c r="S536" s="10"/>
      <c r="T536" s="10"/>
      <c r="V536" s="11"/>
      <c r="W536" s="11"/>
      <c r="AE536" s="10"/>
    </row>
    <row r="537" spans="5:31" ht="12.75">
      <c r="E537" s="8"/>
      <c r="F537" s="8"/>
      <c r="H537" s="9"/>
      <c r="I537" s="9"/>
      <c r="S537" s="10"/>
      <c r="T537" s="10"/>
      <c r="V537" s="11"/>
      <c r="W537" s="11"/>
      <c r="AE537" s="10"/>
    </row>
    <row r="538" spans="5:31" ht="12.75">
      <c r="E538" s="8"/>
      <c r="F538" s="8"/>
      <c r="H538" s="9"/>
      <c r="I538" s="9"/>
      <c r="S538" s="10"/>
      <c r="T538" s="10"/>
      <c r="V538" s="11"/>
      <c r="W538" s="11"/>
      <c r="AE538" s="10"/>
    </row>
    <row r="539" spans="5:31" ht="12.75">
      <c r="E539" s="8"/>
      <c r="F539" s="8"/>
      <c r="H539" s="9"/>
      <c r="I539" s="9"/>
      <c r="S539" s="10"/>
      <c r="T539" s="10"/>
      <c r="V539" s="11"/>
      <c r="W539" s="11"/>
      <c r="AE539" s="10"/>
    </row>
    <row r="540" spans="5:31" ht="12.75">
      <c r="E540" s="8"/>
      <c r="F540" s="8"/>
      <c r="H540" s="9"/>
      <c r="I540" s="9"/>
      <c r="S540" s="10"/>
      <c r="T540" s="10"/>
      <c r="V540" s="11"/>
      <c r="W540" s="11"/>
      <c r="AE540" s="10"/>
    </row>
    <row r="541" spans="5:31" ht="12.75">
      <c r="E541" s="8"/>
      <c r="F541" s="8"/>
      <c r="H541" s="9"/>
      <c r="I541" s="9"/>
      <c r="S541" s="10"/>
      <c r="T541" s="10"/>
      <c r="V541" s="11"/>
      <c r="W541" s="11"/>
      <c r="AE541" s="10"/>
    </row>
    <row r="542" spans="5:31" ht="12.75">
      <c r="E542" s="8"/>
      <c r="F542" s="8"/>
      <c r="H542" s="9"/>
      <c r="I542" s="9"/>
      <c r="S542" s="10"/>
      <c r="T542" s="10"/>
      <c r="V542" s="11"/>
      <c r="W542" s="11"/>
      <c r="AE542" s="10"/>
    </row>
    <row r="543" spans="5:31" ht="12.75">
      <c r="E543" s="8"/>
      <c r="F543" s="8"/>
      <c r="H543" s="9"/>
      <c r="I543" s="9"/>
      <c r="S543" s="10"/>
      <c r="T543" s="10"/>
      <c r="V543" s="11"/>
      <c r="W543" s="11"/>
      <c r="AE543" s="10"/>
    </row>
    <row r="544" spans="5:31" ht="12.75">
      <c r="E544" s="8"/>
      <c r="F544" s="8"/>
      <c r="H544" s="9"/>
      <c r="I544" s="9"/>
      <c r="S544" s="10"/>
      <c r="T544" s="10"/>
      <c r="V544" s="11"/>
      <c r="W544" s="11"/>
      <c r="AE544" s="10"/>
    </row>
    <row r="545" spans="5:31" ht="12.75">
      <c r="E545" s="8"/>
      <c r="F545" s="8"/>
      <c r="H545" s="9"/>
      <c r="I545" s="9"/>
      <c r="S545" s="10"/>
      <c r="T545" s="10"/>
      <c r="V545" s="11"/>
      <c r="W545" s="11"/>
      <c r="AE545" s="10"/>
    </row>
    <row r="546" spans="5:31" ht="12.75">
      <c r="E546" s="8"/>
      <c r="F546" s="8"/>
      <c r="H546" s="9"/>
      <c r="I546" s="9"/>
      <c r="S546" s="10"/>
      <c r="T546" s="10"/>
      <c r="V546" s="11"/>
      <c r="W546" s="11"/>
      <c r="AE546" s="10"/>
    </row>
    <row r="547" spans="5:31" ht="12.75">
      <c r="E547" s="8"/>
      <c r="F547" s="8"/>
      <c r="H547" s="9"/>
      <c r="I547" s="9"/>
      <c r="S547" s="10"/>
      <c r="T547" s="10"/>
      <c r="V547" s="11"/>
      <c r="W547" s="11"/>
      <c r="AE547" s="10"/>
    </row>
    <row r="548" spans="5:31" ht="12.75">
      <c r="E548" s="8"/>
      <c r="F548" s="8"/>
      <c r="H548" s="9"/>
      <c r="I548" s="9"/>
      <c r="S548" s="10"/>
      <c r="T548" s="10"/>
      <c r="V548" s="11"/>
      <c r="W548" s="11"/>
      <c r="AE548" s="10"/>
    </row>
    <row r="549" spans="5:31" ht="12.75">
      <c r="E549" s="8"/>
      <c r="F549" s="8"/>
      <c r="H549" s="9"/>
      <c r="I549" s="9"/>
      <c r="S549" s="10"/>
      <c r="T549" s="10"/>
      <c r="V549" s="11"/>
      <c r="W549" s="11"/>
      <c r="AE549" s="10"/>
    </row>
    <row r="550" spans="5:31" ht="12.75">
      <c r="E550" s="8"/>
      <c r="F550" s="8"/>
      <c r="H550" s="9"/>
      <c r="I550" s="9"/>
      <c r="S550" s="10"/>
      <c r="T550" s="10"/>
      <c r="V550" s="11"/>
      <c r="W550" s="11"/>
      <c r="AE550" s="10"/>
    </row>
    <row r="551" spans="5:31" ht="12.75">
      <c r="E551" s="8"/>
      <c r="F551" s="8"/>
      <c r="H551" s="9"/>
      <c r="I551" s="9"/>
      <c r="S551" s="10"/>
      <c r="T551" s="10"/>
      <c r="V551" s="11"/>
      <c r="W551" s="11"/>
      <c r="AE551" s="10"/>
    </row>
    <row r="552" spans="5:31" ht="12.75">
      <c r="E552" s="8"/>
      <c r="F552" s="8"/>
      <c r="H552" s="9"/>
      <c r="I552" s="9"/>
      <c r="S552" s="10"/>
      <c r="T552" s="10"/>
      <c r="V552" s="11"/>
      <c r="W552" s="11"/>
      <c r="AE552" s="10"/>
    </row>
    <row r="553" spans="5:31" ht="12.75">
      <c r="E553" s="8"/>
      <c r="F553" s="8"/>
      <c r="H553" s="9"/>
      <c r="I553" s="9"/>
      <c r="S553" s="10"/>
      <c r="T553" s="10"/>
      <c r="V553" s="11"/>
      <c r="W553" s="11"/>
      <c r="AE553" s="10"/>
    </row>
    <row r="554" spans="5:31" ht="12.75">
      <c r="E554" s="8"/>
      <c r="F554" s="8"/>
      <c r="H554" s="9"/>
      <c r="I554" s="9"/>
      <c r="S554" s="10"/>
      <c r="T554" s="10"/>
      <c r="V554" s="11"/>
      <c r="W554" s="11"/>
      <c r="AE554" s="10"/>
    </row>
    <row r="555" spans="5:31" ht="12.75">
      <c r="E555" s="8"/>
      <c r="F555" s="8"/>
      <c r="H555" s="9"/>
      <c r="I555" s="9"/>
      <c r="S555" s="10"/>
      <c r="T555" s="10"/>
      <c r="V555" s="11"/>
      <c r="W555" s="11"/>
      <c r="AE555" s="10"/>
    </row>
    <row r="556" spans="5:31" ht="12.75">
      <c r="E556" s="8"/>
      <c r="F556" s="8"/>
      <c r="H556" s="9"/>
      <c r="I556" s="9"/>
      <c r="S556" s="10"/>
      <c r="T556" s="10"/>
      <c r="V556" s="11"/>
      <c r="W556" s="11"/>
      <c r="AE556" s="10"/>
    </row>
    <row r="557" spans="5:31" ht="12.75">
      <c r="E557" s="8"/>
      <c r="F557" s="8"/>
      <c r="H557" s="9"/>
      <c r="I557" s="9"/>
      <c r="S557" s="10"/>
      <c r="T557" s="10"/>
      <c r="V557" s="11"/>
      <c r="W557" s="11"/>
      <c r="AE557" s="10"/>
    </row>
    <row r="558" spans="5:31" ht="12.75">
      <c r="E558" s="8"/>
      <c r="F558" s="8"/>
      <c r="H558" s="9"/>
      <c r="I558" s="9"/>
      <c r="S558" s="10"/>
      <c r="T558" s="10"/>
      <c r="V558" s="11"/>
      <c r="W558" s="11"/>
      <c r="AE558" s="10"/>
    </row>
    <row r="559" spans="5:31" ht="12.75">
      <c r="E559" s="8"/>
      <c r="F559" s="8"/>
      <c r="H559" s="9"/>
      <c r="I559" s="9"/>
      <c r="S559" s="10"/>
      <c r="T559" s="10"/>
      <c r="V559" s="11"/>
      <c r="W559" s="11"/>
      <c r="AE559" s="10"/>
    </row>
    <row r="560" spans="5:31" ht="12.75">
      <c r="E560" s="8"/>
      <c r="F560" s="8"/>
      <c r="H560" s="9"/>
      <c r="I560" s="9"/>
      <c r="S560" s="10"/>
      <c r="T560" s="10"/>
      <c r="V560" s="11"/>
      <c r="W560" s="11"/>
      <c r="AE560" s="10"/>
    </row>
    <row r="561" spans="5:31" ht="12.75">
      <c r="E561" s="8"/>
      <c r="F561" s="8"/>
      <c r="H561" s="9"/>
      <c r="I561" s="9"/>
      <c r="S561" s="10"/>
      <c r="T561" s="10"/>
      <c r="V561" s="11"/>
      <c r="W561" s="11"/>
      <c r="AE561" s="10"/>
    </row>
    <row r="562" spans="5:31" ht="12.75">
      <c r="E562" s="8"/>
      <c r="F562" s="8"/>
      <c r="H562" s="9"/>
      <c r="I562" s="9"/>
      <c r="S562" s="10"/>
      <c r="T562" s="10"/>
      <c r="V562" s="11"/>
      <c r="W562" s="11"/>
      <c r="AE562" s="10"/>
    </row>
    <row r="563" spans="5:31" ht="12.75">
      <c r="E563" s="8"/>
      <c r="F563" s="8"/>
      <c r="H563" s="9"/>
      <c r="I563" s="9"/>
      <c r="S563" s="10"/>
      <c r="T563" s="10"/>
      <c r="V563" s="11"/>
      <c r="W563" s="11"/>
      <c r="AE563" s="10"/>
    </row>
    <row r="564" spans="5:31" ht="12.75">
      <c r="E564" s="8"/>
      <c r="F564" s="8"/>
      <c r="H564" s="9"/>
      <c r="I564" s="9"/>
      <c r="S564" s="10"/>
      <c r="T564" s="10"/>
      <c r="V564" s="11"/>
      <c r="W564" s="11"/>
      <c r="AE564" s="10"/>
    </row>
    <row r="565" spans="5:31" ht="12.75">
      <c r="E565" s="8"/>
      <c r="F565" s="8"/>
      <c r="H565" s="9"/>
      <c r="I565" s="9"/>
      <c r="S565" s="10"/>
      <c r="T565" s="10"/>
      <c r="V565" s="11"/>
      <c r="W565" s="11"/>
      <c r="AE565" s="10"/>
    </row>
    <row r="566" spans="5:31" ht="12.75">
      <c r="E566" s="8"/>
      <c r="F566" s="8"/>
      <c r="H566" s="9"/>
      <c r="I566" s="9"/>
      <c r="S566" s="10"/>
      <c r="T566" s="10"/>
      <c r="V566" s="11"/>
      <c r="W566" s="11"/>
      <c r="AE566" s="10"/>
    </row>
    <row r="567" spans="5:31" ht="12.75">
      <c r="E567" s="8"/>
      <c r="F567" s="8"/>
      <c r="H567" s="9"/>
      <c r="I567" s="9"/>
      <c r="S567" s="10"/>
      <c r="T567" s="10"/>
      <c r="V567" s="11"/>
      <c r="W567" s="11"/>
      <c r="AE567" s="10"/>
    </row>
    <row r="568" spans="5:31" ht="12.75">
      <c r="E568" s="8"/>
      <c r="F568" s="8"/>
      <c r="H568" s="9"/>
      <c r="I568" s="9"/>
      <c r="S568" s="10"/>
      <c r="T568" s="10"/>
      <c r="V568" s="11"/>
      <c r="W568" s="11"/>
      <c r="AE568" s="10"/>
    </row>
    <row r="569" spans="5:31" ht="12.75">
      <c r="E569" s="8"/>
      <c r="F569" s="8"/>
      <c r="H569" s="9"/>
      <c r="I569" s="9"/>
      <c r="S569" s="10"/>
      <c r="T569" s="10"/>
      <c r="V569" s="11"/>
      <c r="W569" s="11"/>
      <c r="AE569" s="10"/>
    </row>
    <row r="570" spans="5:31" ht="12.75">
      <c r="E570" s="8"/>
      <c r="F570" s="8"/>
      <c r="H570" s="9"/>
      <c r="I570" s="9"/>
      <c r="S570" s="10"/>
      <c r="T570" s="10"/>
      <c r="V570" s="11"/>
      <c r="W570" s="11"/>
      <c r="AE570" s="10"/>
    </row>
    <row r="571" spans="5:31" ht="12.75">
      <c r="E571" s="8"/>
      <c r="F571" s="8"/>
      <c r="H571" s="9"/>
      <c r="I571" s="9"/>
      <c r="S571" s="10"/>
      <c r="T571" s="10"/>
      <c r="V571" s="11"/>
      <c r="W571" s="11"/>
      <c r="AE571" s="10"/>
    </row>
    <row r="572" spans="5:31" ht="12.75">
      <c r="E572" s="8"/>
      <c r="F572" s="8"/>
      <c r="H572" s="9"/>
      <c r="I572" s="9"/>
      <c r="S572" s="10"/>
      <c r="T572" s="10"/>
      <c r="V572" s="11"/>
      <c r="W572" s="11"/>
      <c r="AE572" s="10"/>
    </row>
    <row r="573" spans="5:31" ht="12.75">
      <c r="E573" s="8"/>
      <c r="F573" s="8"/>
      <c r="H573" s="9"/>
      <c r="I573" s="9"/>
      <c r="S573" s="10"/>
      <c r="T573" s="10"/>
      <c r="V573" s="11"/>
      <c r="W573" s="11"/>
      <c r="AE573" s="10"/>
    </row>
    <row r="574" spans="5:31" ht="12.75">
      <c r="E574" s="8"/>
      <c r="F574" s="8"/>
      <c r="H574" s="9"/>
      <c r="I574" s="9"/>
      <c r="S574" s="10"/>
      <c r="T574" s="10"/>
      <c r="V574" s="11"/>
      <c r="W574" s="11"/>
      <c r="AE574" s="10"/>
    </row>
    <row r="575" spans="5:31" ht="12.75">
      <c r="E575" s="8"/>
      <c r="F575" s="8"/>
      <c r="H575" s="9"/>
      <c r="I575" s="9"/>
      <c r="S575" s="10"/>
      <c r="T575" s="10"/>
      <c r="V575" s="11"/>
      <c r="W575" s="11"/>
      <c r="AE575" s="10"/>
    </row>
    <row r="576" spans="5:31" ht="12.75">
      <c r="E576" s="8"/>
      <c r="F576" s="8"/>
      <c r="H576" s="9"/>
      <c r="I576" s="9"/>
      <c r="S576" s="10"/>
      <c r="T576" s="10"/>
      <c r="V576" s="11"/>
      <c r="W576" s="11"/>
      <c r="AE576" s="10"/>
    </row>
    <row r="577" spans="5:31" ht="12.75">
      <c r="E577" s="8"/>
      <c r="F577" s="8"/>
      <c r="H577" s="9"/>
      <c r="I577" s="9"/>
      <c r="S577" s="10"/>
      <c r="T577" s="10"/>
      <c r="V577" s="11"/>
      <c r="W577" s="11"/>
      <c r="AE577" s="10"/>
    </row>
    <row r="578" spans="5:31" ht="12.75">
      <c r="E578" s="8"/>
      <c r="F578" s="8"/>
      <c r="H578" s="9"/>
      <c r="I578" s="9"/>
      <c r="S578" s="10"/>
      <c r="T578" s="10"/>
      <c r="V578" s="11"/>
      <c r="W578" s="11"/>
      <c r="AE578" s="10"/>
    </row>
    <row r="579" spans="5:31" ht="12.75">
      <c r="E579" s="8"/>
      <c r="F579" s="8"/>
      <c r="H579" s="9"/>
      <c r="I579" s="9"/>
      <c r="S579" s="10"/>
      <c r="T579" s="10"/>
      <c r="V579" s="11"/>
      <c r="W579" s="11"/>
      <c r="AE579" s="10"/>
    </row>
    <row r="580" spans="5:31" ht="12.75">
      <c r="E580" s="8"/>
      <c r="F580" s="8"/>
      <c r="H580" s="9"/>
      <c r="I580" s="9"/>
      <c r="S580" s="10"/>
      <c r="T580" s="10"/>
      <c r="V580" s="11"/>
      <c r="W580" s="11"/>
      <c r="AE580" s="10"/>
    </row>
    <row r="581" spans="5:31" ht="12.75">
      <c r="E581" s="8"/>
      <c r="F581" s="8"/>
      <c r="H581" s="9"/>
      <c r="I581" s="9"/>
      <c r="S581" s="10"/>
      <c r="T581" s="10"/>
      <c r="V581" s="11"/>
      <c r="W581" s="11"/>
      <c r="AE581" s="10"/>
    </row>
    <row r="582" spans="5:31" ht="12.75">
      <c r="E582" s="8"/>
      <c r="F582" s="8"/>
      <c r="H582" s="9"/>
      <c r="I582" s="9"/>
      <c r="S582" s="10"/>
      <c r="T582" s="10"/>
      <c r="V582" s="11"/>
      <c r="W582" s="11"/>
      <c r="AE582" s="10"/>
    </row>
    <row r="583" spans="5:31" ht="12.75">
      <c r="E583" s="8"/>
      <c r="F583" s="8"/>
      <c r="H583" s="9"/>
      <c r="I583" s="9"/>
      <c r="S583" s="10"/>
      <c r="T583" s="10"/>
      <c r="V583" s="11"/>
      <c r="W583" s="11"/>
      <c r="AE583" s="10"/>
    </row>
    <row r="584" spans="5:31" ht="12.75">
      <c r="E584" s="8"/>
      <c r="F584" s="8"/>
      <c r="H584" s="9"/>
      <c r="I584" s="9"/>
      <c r="S584" s="10"/>
      <c r="T584" s="10"/>
      <c r="V584" s="11"/>
      <c r="W584" s="11"/>
      <c r="AE584" s="10"/>
    </row>
    <row r="585" spans="5:31" ht="12.75">
      <c r="E585" s="8"/>
      <c r="F585" s="8"/>
      <c r="H585" s="9"/>
      <c r="I585" s="9"/>
      <c r="S585" s="10"/>
      <c r="T585" s="10"/>
      <c r="V585" s="11"/>
      <c r="W585" s="11"/>
      <c r="AE585" s="10"/>
    </row>
    <row r="586" spans="5:31" ht="12.75">
      <c r="E586" s="8"/>
      <c r="F586" s="8"/>
      <c r="H586" s="9"/>
      <c r="I586" s="9"/>
      <c r="S586" s="10"/>
      <c r="T586" s="10"/>
      <c r="V586" s="11"/>
      <c r="W586" s="11"/>
      <c r="AE586" s="10"/>
    </row>
    <row r="587" spans="5:31" ht="12.75">
      <c r="E587" s="8"/>
      <c r="F587" s="8"/>
      <c r="H587" s="9"/>
      <c r="I587" s="9"/>
      <c r="S587" s="10"/>
      <c r="T587" s="10"/>
      <c r="V587" s="11"/>
      <c r="W587" s="11"/>
      <c r="AE587" s="10"/>
    </row>
    <row r="588" spans="5:31" ht="12.75">
      <c r="E588" s="8"/>
      <c r="F588" s="8"/>
      <c r="H588" s="9"/>
      <c r="I588" s="9"/>
      <c r="S588" s="10"/>
      <c r="T588" s="10"/>
      <c r="V588" s="11"/>
      <c r="W588" s="11"/>
      <c r="AE588" s="10"/>
    </row>
    <row r="589" spans="5:31" ht="12.75">
      <c r="E589" s="8"/>
      <c r="F589" s="8"/>
      <c r="H589" s="9"/>
      <c r="I589" s="9"/>
      <c r="S589" s="10"/>
      <c r="T589" s="10"/>
      <c r="V589" s="11"/>
      <c r="W589" s="11"/>
      <c r="AE589" s="10"/>
    </row>
    <row r="590" spans="5:31" ht="12.75">
      <c r="E590" s="8"/>
      <c r="F590" s="8"/>
      <c r="H590" s="9"/>
      <c r="I590" s="9"/>
      <c r="S590" s="10"/>
      <c r="T590" s="10"/>
      <c r="V590" s="11"/>
      <c r="W590" s="11"/>
      <c r="AE590" s="10"/>
    </row>
    <row r="591" spans="5:31" ht="12.75">
      <c r="E591" s="8"/>
      <c r="F591" s="8"/>
      <c r="H591" s="9"/>
      <c r="I591" s="9"/>
      <c r="S591" s="10"/>
      <c r="T591" s="10"/>
      <c r="V591" s="11"/>
      <c r="W591" s="11"/>
      <c r="AE591" s="10"/>
    </row>
    <row r="592" spans="5:31" ht="12.75">
      <c r="E592" s="8"/>
      <c r="F592" s="8"/>
      <c r="H592" s="9"/>
      <c r="I592" s="9"/>
      <c r="S592" s="10"/>
      <c r="T592" s="10"/>
      <c r="V592" s="11"/>
      <c r="W592" s="11"/>
      <c r="AE592" s="10"/>
    </row>
    <row r="593" spans="5:31" ht="12.75">
      <c r="E593" s="8"/>
      <c r="F593" s="8"/>
      <c r="H593" s="9"/>
      <c r="I593" s="9"/>
      <c r="S593" s="10"/>
      <c r="T593" s="10"/>
      <c r="V593" s="11"/>
      <c r="W593" s="11"/>
      <c r="AE593" s="10"/>
    </row>
    <row r="594" spans="5:31" ht="12.75">
      <c r="E594" s="8"/>
      <c r="F594" s="8"/>
      <c r="H594" s="9"/>
      <c r="I594" s="9"/>
      <c r="S594" s="10"/>
      <c r="T594" s="10"/>
      <c r="V594" s="11"/>
      <c r="W594" s="11"/>
      <c r="AE594" s="10"/>
    </row>
    <row r="595" spans="5:31" ht="12.75">
      <c r="E595" s="8"/>
      <c r="F595" s="8"/>
      <c r="H595" s="9"/>
      <c r="I595" s="9"/>
      <c r="S595" s="10"/>
      <c r="T595" s="10"/>
      <c r="V595" s="11"/>
      <c r="W595" s="11"/>
      <c r="AE595" s="10"/>
    </row>
    <row r="596" spans="5:31" ht="12.75">
      <c r="E596" s="8"/>
      <c r="F596" s="8"/>
      <c r="H596" s="9"/>
      <c r="I596" s="9"/>
      <c r="S596" s="10"/>
      <c r="T596" s="10"/>
      <c r="V596" s="11"/>
      <c r="W596" s="11"/>
      <c r="AE596" s="10"/>
    </row>
    <row r="597" spans="5:31" ht="12.75">
      <c r="E597" s="8"/>
      <c r="F597" s="8"/>
      <c r="H597" s="9"/>
      <c r="I597" s="9"/>
      <c r="S597" s="10"/>
      <c r="T597" s="10"/>
      <c r="V597" s="11"/>
      <c r="W597" s="11"/>
      <c r="AE597" s="10"/>
    </row>
    <row r="598" spans="5:31" ht="12.75">
      <c r="E598" s="8"/>
      <c r="F598" s="8"/>
      <c r="H598" s="9"/>
      <c r="I598" s="9"/>
      <c r="S598" s="10"/>
      <c r="T598" s="10"/>
      <c r="V598" s="11"/>
      <c r="W598" s="11"/>
      <c r="AE598" s="10"/>
    </row>
    <row r="599" spans="5:31" ht="12.75">
      <c r="E599" s="8"/>
      <c r="F599" s="8"/>
      <c r="H599" s="9"/>
      <c r="I599" s="9"/>
      <c r="S599" s="10"/>
      <c r="T599" s="10"/>
      <c r="V599" s="11"/>
      <c r="W599" s="11"/>
      <c r="AE599" s="10"/>
    </row>
    <row r="600" spans="5:31" ht="12.75">
      <c r="E600" s="8"/>
      <c r="F600" s="8"/>
      <c r="H600" s="9"/>
      <c r="I600" s="9"/>
      <c r="S600" s="10"/>
      <c r="T600" s="10"/>
      <c r="V600" s="11"/>
      <c r="W600" s="11"/>
      <c r="AE600" s="10"/>
    </row>
    <row r="601" spans="5:31" ht="12.75">
      <c r="E601" s="8"/>
      <c r="F601" s="8"/>
      <c r="H601" s="9"/>
      <c r="I601" s="9"/>
      <c r="S601" s="10"/>
      <c r="T601" s="10"/>
      <c r="V601" s="11"/>
      <c r="W601" s="11"/>
      <c r="AE601" s="10"/>
    </row>
    <row r="602" spans="5:31" ht="12.75">
      <c r="E602" s="8"/>
      <c r="F602" s="8"/>
      <c r="H602" s="9"/>
      <c r="I602" s="9"/>
      <c r="S602" s="10"/>
      <c r="T602" s="10"/>
      <c r="V602" s="11"/>
      <c r="W602" s="11"/>
      <c r="AE602" s="10"/>
    </row>
    <row r="603" spans="5:31" ht="12.75">
      <c r="E603" s="8"/>
      <c r="F603" s="8"/>
      <c r="H603" s="9"/>
      <c r="I603" s="9"/>
      <c r="S603" s="10"/>
      <c r="T603" s="10"/>
      <c r="V603" s="11"/>
      <c r="W603" s="11"/>
      <c r="AE603" s="10"/>
    </row>
    <row r="604" spans="5:31" ht="12.75">
      <c r="E604" s="8"/>
      <c r="F604" s="8"/>
      <c r="H604" s="9"/>
      <c r="I604" s="9"/>
      <c r="S604" s="10"/>
      <c r="T604" s="10"/>
      <c r="V604" s="11"/>
      <c r="W604" s="11"/>
      <c r="AE604" s="10"/>
    </row>
    <row r="605" spans="5:31" ht="12.75">
      <c r="E605" s="8"/>
      <c r="F605" s="8"/>
      <c r="H605" s="9"/>
      <c r="I605" s="9"/>
      <c r="S605" s="10"/>
      <c r="T605" s="10"/>
      <c r="V605" s="11"/>
      <c r="W605" s="11"/>
      <c r="AE605" s="10"/>
    </row>
    <row r="606" spans="5:31" ht="12.75">
      <c r="E606" s="8"/>
      <c r="F606" s="8"/>
      <c r="H606" s="9"/>
      <c r="I606" s="9"/>
      <c r="S606" s="10"/>
      <c r="T606" s="10"/>
      <c r="V606" s="11"/>
      <c r="W606" s="11"/>
      <c r="AE606" s="10"/>
    </row>
    <row r="607" spans="5:31" ht="12.75">
      <c r="E607" s="8"/>
      <c r="F607" s="8"/>
      <c r="H607" s="9"/>
      <c r="I607" s="9"/>
      <c r="S607" s="10"/>
      <c r="T607" s="10"/>
      <c r="V607" s="11"/>
      <c r="W607" s="11"/>
      <c r="AE607" s="10"/>
    </row>
    <row r="608" spans="5:31" ht="12.75">
      <c r="E608" s="8"/>
      <c r="F608" s="8"/>
      <c r="H608" s="9"/>
      <c r="I608" s="9"/>
      <c r="S608" s="10"/>
      <c r="T608" s="10"/>
      <c r="V608" s="11"/>
      <c r="W608" s="11"/>
      <c r="AE608" s="10"/>
    </row>
    <row r="609" spans="5:31" ht="12.75">
      <c r="E609" s="8"/>
      <c r="F609" s="8"/>
      <c r="H609" s="9"/>
      <c r="I609" s="9"/>
      <c r="S609" s="10"/>
      <c r="T609" s="10"/>
      <c r="V609" s="11"/>
      <c r="W609" s="11"/>
      <c r="AE609" s="10"/>
    </row>
    <row r="610" spans="5:31" ht="12.75">
      <c r="E610" s="8"/>
      <c r="F610" s="8"/>
      <c r="H610" s="9"/>
      <c r="I610" s="9"/>
      <c r="S610" s="10"/>
      <c r="T610" s="10"/>
      <c r="V610" s="11"/>
      <c r="W610" s="11"/>
      <c r="AE610" s="10"/>
    </row>
    <row r="611" spans="5:31" ht="12.75">
      <c r="E611" s="8"/>
      <c r="F611" s="8"/>
      <c r="H611" s="9"/>
      <c r="I611" s="9"/>
      <c r="S611" s="10"/>
      <c r="T611" s="10"/>
      <c r="V611" s="11"/>
      <c r="W611" s="11"/>
      <c r="AE611" s="10"/>
    </row>
    <row r="612" spans="5:31" ht="12.75">
      <c r="E612" s="8"/>
      <c r="F612" s="8"/>
      <c r="H612" s="9"/>
      <c r="I612" s="9"/>
      <c r="S612" s="10"/>
      <c r="T612" s="10"/>
      <c r="V612" s="11"/>
      <c r="W612" s="11"/>
      <c r="AE612" s="10"/>
    </row>
    <row r="613" spans="5:31" ht="12.75">
      <c r="E613" s="8"/>
      <c r="F613" s="8"/>
      <c r="H613" s="9"/>
      <c r="I613" s="9"/>
      <c r="S613" s="10"/>
      <c r="T613" s="10"/>
      <c r="V613" s="11"/>
      <c r="W613" s="11"/>
      <c r="AE613" s="10"/>
    </row>
    <row r="614" spans="5:31" ht="12.75">
      <c r="E614" s="8"/>
      <c r="F614" s="8"/>
      <c r="H614" s="9"/>
      <c r="I614" s="9"/>
      <c r="S614" s="10"/>
      <c r="T614" s="10"/>
      <c r="V614" s="11"/>
      <c r="W614" s="11"/>
      <c r="AE614" s="10"/>
    </row>
    <row r="615" spans="5:31" ht="12.75">
      <c r="E615" s="8"/>
      <c r="F615" s="8"/>
      <c r="H615" s="9"/>
      <c r="I615" s="9"/>
      <c r="S615" s="10"/>
      <c r="T615" s="10"/>
      <c r="V615" s="11"/>
      <c r="W615" s="11"/>
      <c r="AE615" s="10"/>
    </row>
    <row r="616" spans="5:31" ht="12.75">
      <c r="E616" s="8"/>
      <c r="F616" s="8"/>
      <c r="H616" s="9"/>
      <c r="I616" s="9"/>
      <c r="S616" s="10"/>
      <c r="T616" s="10"/>
      <c r="V616" s="11"/>
      <c r="W616" s="11"/>
      <c r="AE616" s="10"/>
    </row>
    <row r="617" spans="5:31" ht="12.75">
      <c r="E617" s="8"/>
      <c r="F617" s="8"/>
      <c r="H617" s="9"/>
      <c r="I617" s="9"/>
      <c r="S617" s="10"/>
      <c r="T617" s="10"/>
      <c r="V617" s="11"/>
      <c r="W617" s="11"/>
      <c r="AE617" s="10"/>
    </row>
    <row r="618" spans="5:31" ht="12.75">
      <c r="E618" s="8"/>
      <c r="F618" s="8"/>
      <c r="H618" s="9"/>
      <c r="I618" s="9"/>
      <c r="S618" s="10"/>
      <c r="T618" s="10"/>
      <c r="V618" s="11"/>
      <c r="W618" s="11"/>
      <c r="AE618" s="10"/>
    </row>
    <row r="619" spans="5:31" ht="12.75">
      <c r="E619" s="8"/>
      <c r="F619" s="8"/>
      <c r="H619" s="9"/>
      <c r="I619" s="9"/>
      <c r="S619" s="10"/>
      <c r="T619" s="10"/>
      <c r="V619" s="11"/>
      <c r="W619" s="11"/>
      <c r="AE619" s="10"/>
    </row>
    <row r="620" spans="5:31" ht="12.75">
      <c r="E620" s="8"/>
      <c r="F620" s="8"/>
      <c r="H620" s="9"/>
      <c r="I620" s="9"/>
      <c r="S620" s="10"/>
      <c r="T620" s="10"/>
      <c r="V620" s="11"/>
      <c r="W620" s="11"/>
      <c r="AE620" s="10"/>
    </row>
    <row r="621" spans="5:31" ht="12.75">
      <c r="E621" s="8"/>
      <c r="F621" s="8"/>
      <c r="H621" s="9"/>
      <c r="I621" s="9"/>
      <c r="S621" s="10"/>
      <c r="T621" s="10"/>
      <c r="V621" s="11"/>
      <c r="W621" s="11"/>
      <c r="AE621" s="10"/>
    </row>
    <row r="622" spans="5:31" ht="12.75">
      <c r="E622" s="8"/>
      <c r="F622" s="8"/>
      <c r="H622" s="9"/>
      <c r="I622" s="9"/>
      <c r="S622" s="10"/>
      <c r="T622" s="10"/>
      <c r="V622" s="11"/>
      <c r="W622" s="11"/>
      <c r="AE622" s="10"/>
    </row>
    <row r="623" spans="5:31" ht="12.75">
      <c r="E623" s="8"/>
      <c r="F623" s="8"/>
      <c r="H623" s="9"/>
      <c r="I623" s="9"/>
      <c r="S623" s="10"/>
      <c r="T623" s="10"/>
      <c r="V623" s="11"/>
      <c r="W623" s="11"/>
      <c r="AE623" s="10"/>
    </row>
    <row r="624" spans="5:31" ht="12.75">
      <c r="E624" s="8"/>
      <c r="F624" s="8"/>
      <c r="H624" s="9"/>
      <c r="I624" s="9"/>
      <c r="S624" s="10"/>
      <c r="T624" s="10"/>
      <c r="V624" s="11"/>
      <c r="W624" s="11"/>
      <c r="AE624" s="10"/>
    </row>
    <row r="625" spans="5:31" ht="12.75">
      <c r="E625" s="8"/>
      <c r="F625" s="8"/>
      <c r="H625" s="9"/>
      <c r="I625" s="9"/>
      <c r="S625" s="10"/>
      <c r="T625" s="10"/>
      <c r="V625" s="11"/>
      <c r="W625" s="11"/>
      <c r="AE625" s="10"/>
    </row>
    <row r="626" spans="5:31" ht="12.75">
      <c r="E626" s="8"/>
      <c r="F626" s="8"/>
      <c r="H626" s="9"/>
      <c r="I626" s="9"/>
      <c r="S626" s="10"/>
      <c r="T626" s="10"/>
      <c r="V626" s="11"/>
      <c r="W626" s="11"/>
      <c r="AE626" s="10"/>
    </row>
    <row r="627" spans="5:31" ht="12.75">
      <c r="E627" s="8"/>
      <c r="F627" s="8"/>
      <c r="H627" s="9"/>
      <c r="I627" s="9"/>
      <c r="S627" s="10"/>
      <c r="T627" s="10"/>
      <c r="V627" s="11"/>
      <c r="W627" s="11"/>
      <c r="AE627" s="10"/>
    </row>
    <row r="628" spans="5:31" ht="12.75">
      <c r="E628" s="8"/>
      <c r="F628" s="8"/>
      <c r="H628" s="9"/>
      <c r="I628" s="9"/>
      <c r="S628" s="10"/>
      <c r="T628" s="10"/>
      <c r="V628" s="11"/>
      <c r="W628" s="11"/>
      <c r="AE628" s="10"/>
    </row>
    <row r="629" spans="5:31" ht="12.75">
      <c r="E629" s="8"/>
      <c r="F629" s="8"/>
      <c r="H629" s="9"/>
      <c r="I629" s="9"/>
      <c r="S629" s="10"/>
      <c r="T629" s="10"/>
      <c r="V629" s="11"/>
      <c r="W629" s="11"/>
      <c r="AE629" s="10"/>
    </row>
    <row r="630" spans="5:31" ht="12.75">
      <c r="E630" s="8"/>
      <c r="F630" s="8"/>
      <c r="H630" s="9"/>
      <c r="I630" s="9"/>
      <c r="S630" s="10"/>
      <c r="T630" s="10"/>
      <c r="V630" s="11"/>
      <c r="W630" s="11"/>
      <c r="AE630" s="10"/>
    </row>
    <row r="631" spans="5:31" ht="12.75">
      <c r="E631" s="8"/>
      <c r="F631" s="8"/>
      <c r="H631" s="9"/>
      <c r="I631" s="9"/>
      <c r="S631" s="10"/>
      <c r="T631" s="10"/>
      <c r="V631" s="11"/>
      <c r="W631" s="11"/>
      <c r="AE631" s="10"/>
    </row>
    <row r="632" spans="5:31" ht="12.75">
      <c r="E632" s="8"/>
      <c r="F632" s="8"/>
      <c r="H632" s="9"/>
      <c r="I632" s="9"/>
      <c r="S632" s="10"/>
      <c r="T632" s="10"/>
      <c r="V632" s="11"/>
      <c r="W632" s="11"/>
      <c r="AE632" s="10"/>
    </row>
    <row r="633" spans="5:31" ht="12.75">
      <c r="E633" s="8"/>
      <c r="F633" s="8"/>
      <c r="H633" s="9"/>
      <c r="I633" s="9"/>
      <c r="S633" s="10"/>
      <c r="T633" s="10"/>
      <c r="V633" s="11"/>
      <c r="W633" s="11"/>
      <c r="AE633" s="10"/>
    </row>
    <row r="634" spans="5:31" ht="12.75">
      <c r="E634" s="8"/>
      <c r="F634" s="8"/>
      <c r="H634" s="9"/>
      <c r="I634" s="9"/>
      <c r="S634" s="10"/>
      <c r="T634" s="10"/>
      <c r="V634" s="11"/>
      <c r="W634" s="11"/>
      <c r="AE634" s="10"/>
    </row>
    <row r="635" spans="5:31" ht="12.75">
      <c r="E635" s="8"/>
      <c r="F635" s="8"/>
      <c r="H635" s="9"/>
      <c r="I635" s="9"/>
      <c r="S635" s="10"/>
      <c r="T635" s="10"/>
      <c r="V635" s="11"/>
      <c r="W635" s="11"/>
      <c r="AE635" s="10"/>
    </row>
    <row r="636" spans="5:31" ht="12.75">
      <c r="E636" s="8"/>
      <c r="F636" s="8"/>
      <c r="H636" s="9"/>
      <c r="I636" s="9"/>
      <c r="S636" s="10"/>
      <c r="T636" s="10"/>
      <c r="V636" s="11"/>
      <c r="W636" s="11"/>
      <c r="AE636" s="10"/>
    </row>
    <row r="637" spans="5:31" ht="12.75">
      <c r="E637" s="8"/>
      <c r="F637" s="8"/>
      <c r="H637" s="9"/>
      <c r="I637" s="9"/>
      <c r="S637" s="10"/>
      <c r="T637" s="10"/>
      <c r="V637" s="11"/>
      <c r="W637" s="11"/>
      <c r="AE637" s="10"/>
    </row>
    <row r="638" spans="5:31" ht="12.75">
      <c r="E638" s="8"/>
      <c r="F638" s="8"/>
      <c r="H638" s="9"/>
      <c r="I638" s="9"/>
      <c r="S638" s="10"/>
      <c r="T638" s="10"/>
      <c r="V638" s="11"/>
      <c r="W638" s="11"/>
      <c r="AE638" s="10"/>
    </row>
    <row r="639" spans="5:31" ht="12.75">
      <c r="E639" s="8"/>
      <c r="F639" s="8"/>
      <c r="H639" s="9"/>
      <c r="I639" s="9"/>
      <c r="S639" s="10"/>
      <c r="T639" s="10"/>
      <c r="V639" s="11"/>
      <c r="W639" s="11"/>
      <c r="AE639" s="10"/>
    </row>
    <row r="640" spans="5:31" ht="12.75">
      <c r="E640" s="8"/>
      <c r="F640" s="8"/>
      <c r="H640" s="9"/>
      <c r="I640" s="9"/>
      <c r="S640" s="10"/>
      <c r="T640" s="10"/>
      <c r="V640" s="11"/>
      <c r="W640" s="11"/>
      <c r="AE640" s="10"/>
    </row>
    <row r="641" spans="5:31" ht="12.75">
      <c r="E641" s="8"/>
      <c r="F641" s="8"/>
      <c r="H641" s="9"/>
      <c r="I641" s="9"/>
      <c r="S641" s="10"/>
      <c r="T641" s="10"/>
      <c r="V641" s="11"/>
      <c r="W641" s="11"/>
      <c r="AE641" s="10"/>
    </row>
    <row r="642" spans="5:23" ht="12.75">
      <c r="E642" s="8"/>
      <c r="F642" s="8"/>
      <c r="H642" s="9"/>
      <c r="I642" s="9"/>
      <c r="S642" s="10"/>
      <c r="T642" s="10"/>
      <c r="V642" s="11"/>
      <c r="W642" s="11"/>
    </row>
    <row r="643" spans="5:31" ht="12.75">
      <c r="E643" s="8"/>
      <c r="F643" s="8"/>
      <c r="H643" s="9"/>
      <c r="I643" s="9"/>
      <c r="S643" s="10"/>
      <c r="T643" s="10"/>
      <c r="V643" s="11"/>
      <c r="W643" s="11"/>
      <c r="AE643" s="10"/>
    </row>
    <row r="644" spans="5:31" ht="12.75">
      <c r="E644" s="8"/>
      <c r="F644" s="8"/>
      <c r="H644" s="9"/>
      <c r="I644" s="9"/>
      <c r="S644" s="10"/>
      <c r="T644" s="10"/>
      <c r="V644" s="11"/>
      <c r="W644" s="11"/>
      <c r="AE644" s="10"/>
    </row>
    <row r="645" spans="5:31" ht="12.75">
      <c r="E645" s="8"/>
      <c r="F645" s="8"/>
      <c r="H645" s="9"/>
      <c r="I645" s="9"/>
      <c r="S645" s="10"/>
      <c r="T645" s="10"/>
      <c r="V645" s="11"/>
      <c r="W645" s="11"/>
      <c r="AE645" s="10"/>
    </row>
    <row r="646" spans="5:31" ht="12.75">
      <c r="E646" s="8"/>
      <c r="F646" s="8"/>
      <c r="H646" s="9"/>
      <c r="I646" s="9"/>
      <c r="S646" s="10"/>
      <c r="T646" s="10"/>
      <c r="V646" s="11"/>
      <c r="W646" s="11"/>
      <c r="AE646" s="10"/>
    </row>
    <row r="647" spans="5:31" ht="12.75">
      <c r="E647" s="8"/>
      <c r="F647" s="8"/>
      <c r="H647" s="9"/>
      <c r="I647" s="9"/>
      <c r="S647" s="10"/>
      <c r="T647" s="10"/>
      <c r="V647" s="11"/>
      <c r="W647" s="11"/>
      <c r="AE647" s="10"/>
    </row>
    <row r="648" spans="5:31" ht="12.75">
      <c r="E648" s="8"/>
      <c r="F648" s="8"/>
      <c r="H648" s="9"/>
      <c r="I648" s="9"/>
      <c r="S648" s="10"/>
      <c r="T648" s="10"/>
      <c r="V648" s="11"/>
      <c r="W648" s="11"/>
      <c r="AE648" s="10"/>
    </row>
    <row r="649" spans="5:31" ht="12.75">
      <c r="E649" s="8"/>
      <c r="F649" s="8"/>
      <c r="H649" s="9"/>
      <c r="I649" s="9"/>
      <c r="S649" s="10"/>
      <c r="T649" s="10"/>
      <c r="V649" s="11"/>
      <c r="W649" s="11"/>
      <c r="AE649" s="10"/>
    </row>
    <row r="650" spans="5:31" ht="12.75">
      <c r="E650" s="8"/>
      <c r="F650" s="8"/>
      <c r="H650" s="9"/>
      <c r="I650" s="9"/>
      <c r="S650" s="10"/>
      <c r="T650" s="10"/>
      <c r="V650" s="11"/>
      <c r="W650" s="11"/>
      <c r="AE650" s="10"/>
    </row>
    <row r="651" spans="5:31" ht="12.75">
      <c r="E651" s="8"/>
      <c r="F651" s="8"/>
      <c r="H651" s="9"/>
      <c r="I651" s="9"/>
      <c r="S651" s="10"/>
      <c r="T651" s="10"/>
      <c r="V651" s="11"/>
      <c r="W651" s="11"/>
      <c r="AE651" s="10"/>
    </row>
    <row r="652" spans="5:31" ht="12.75">
      <c r="E652" s="8"/>
      <c r="F652" s="8"/>
      <c r="H652" s="9"/>
      <c r="I652" s="9"/>
      <c r="S652" s="10"/>
      <c r="T652" s="10"/>
      <c r="V652" s="11"/>
      <c r="W652" s="11"/>
      <c r="AE652" s="10"/>
    </row>
    <row r="653" spans="5:31" ht="12.75">
      <c r="E653" s="8"/>
      <c r="F653" s="8"/>
      <c r="H653" s="9"/>
      <c r="I653" s="9"/>
      <c r="S653" s="10"/>
      <c r="T653" s="10"/>
      <c r="V653" s="11"/>
      <c r="W653" s="11"/>
      <c r="AE653" s="10"/>
    </row>
    <row r="654" spans="5:31" ht="12.75">
      <c r="E654" s="8"/>
      <c r="F654" s="8"/>
      <c r="H654" s="9"/>
      <c r="I654" s="9"/>
      <c r="S654" s="10"/>
      <c r="T654" s="10"/>
      <c r="V654" s="11"/>
      <c r="W654" s="11"/>
      <c r="AE654" s="10"/>
    </row>
    <row r="655" spans="5:31" ht="12.75">
      <c r="E655" s="8"/>
      <c r="F655" s="8"/>
      <c r="H655" s="9"/>
      <c r="I655" s="9"/>
      <c r="S655" s="10"/>
      <c r="T655" s="10"/>
      <c r="V655" s="11"/>
      <c r="W655" s="11"/>
      <c r="AE655" s="10"/>
    </row>
    <row r="656" spans="5:31" ht="12.75">
      <c r="E656" s="8"/>
      <c r="F656" s="8"/>
      <c r="H656" s="9"/>
      <c r="I656" s="9"/>
      <c r="S656" s="10"/>
      <c r="T656" s="10"/>
      <c r="V656" s="11"/>
      <c r="W656" s="11"/>
      <c r="AE656" s="10"/>
    </row>
    <row r="657" spans="5:31" ht="12.75">
      <c r="E657" s="8"/>
      <c r="F657" s="8"/>
      <c r="H657" s="9"/>
      <c r="I657" s="9"/>
      <c r="S657" s="10"/>
      <c r="T657" s="10"/>
      <c r="V657" s="11"/>
      <c r="W657" s="11"/>
      <c r="AE657" s="10"/>
    </row>
    <row r="658" spans="5:31" ht="12.75">
      <c r="E658" s="8"/>
      <c r="F658" s="8"/>
      <c r="H658" s="9"/>
      <c r="I658" s="9"/>
      <c r="S658" s="10"/>
      <c r="T658" s="10"/>
      <c r="V658" s="11"/>
      <c r="W658" s="11"/>
      <c r="AE658" s="10"/>
    </row>
    <row r="659" spans="5:31" ht="12.75">
      <c r="E659" s="8"/>
      <c r="F659" s="8"/>
      <c r="H659" s="9"/>
      <c r="I659" s="9"/>
      <c r="S659" s="10"/>
      <c r="T659" s="10"/>
      <c r="V659" s="11"/>
      <c r="W659" s="11"/>
      <c r="AE659" s="10"/>
    </row>
    <row r="660" spans="5:31" ht="12.75">
      <c r="E660" s="8"/>
      <c r="F660" s="8"/>
      <c r="H660" s="9"/>
      <c r="I660" s="9"/>
      <c r="S660" s="10"/>
      <c r="T660" s="10"/>
      <c r="V660" s="11"/>
      <c r="W660" s="11"/>
      <c r="AE660" s="10"/>
    </row>
    <row r="661" spans="5:31" ht="12.75">
      <c r="E661" s="8"/>
      <c r="F661" s="8"/>
      <c r="H661" s="9"/>
      <c r="I661" s="9"/>
      <c r="S661" s="10"/>
      <c r="T661" s="10"/>
      <c r="V661" s="11"/>
      <c r="W661" s="11"/>
      <c r="AE661" s="10"/>
    </row>
    <row r="662" spans="5:31" ht="12.75">
      <c r="E662" s="8"/>
      <c r="F662" s="8"/>
      <c r="H662" s="9"/>
      <c r="I662" s="9"/>
      <c r="S662" s="10"/>
      <c r="T662" s="10"/>
      <c r="V662" s="11"/>
      <c r="W662" s="11"/>
      <c r="AE662" s="10"/>
    </row>
    <row r="663" spans="5:31" ht="12.75">
      <c r="E663" s="8"/>
      <c r="F663" s="8"/>
      <c r="H663" s="9"/>
      <c r="I663" s="9"/>
      <c r="S663" s="10"/>
      <c r="T663" s="10"/>
      <c r="V663" s="11"/>
      <c r="W663" s="11"/>
      <c r="AE663" s="10"/>
    </row>
    <row r="664" spans="5:31" ht="12.75">
      <c r="E664" s="8"/>
      <c r="F664" s="8"/>
      <c r="H664" s="9"/>
      <c r="I664" s="9"/>
      <c r="S664" s="10"/>
      <c r="T664" s="10"/>
      <c r="V664" s="11"/>
      <c r="W664" s="11"/>
      <c r="AE664" s="10"/>
    </row>
    <row r="665" spans="5:31" ht="12.75">
      <c r="E665" s="8"/>
      <c r="F665" s="8"/>
      <c r="H665" s="9"/>
      <c r="I665" s="9"/>
      <c r="S665" s="10"/>
      <c r="T665" s="10"/>
      <c r="V665" s="11"/>
      <c r="W665" s="11"/>
      <c r="AE665" s="10"/>
    </row>
    <row r="666" spans="5:31" ht="12.75">
      <c r="E666" s="8"/>
      <c r="F666" s="8"/>
      <c r="H666" s="9"/>
      <c r="I666" s="9"/>
      <c r="S666" s="10"/>
      <c r="T666" s="10"/>
      <c r="V666" s="11"/>
      <c r="W666" s="11"/>
      <c r="AE666" s="10"/>
    </row>
    <row r="667" spans="5:31" ht="12.75">
      <c r="E667" s="8"/>
      <c r="F667" s="8"/>
      <c r="H667" s="9"/>
      <c r="I667" s="9"/>
      <c r="S667" s="10"/>
      <c r="T667" s="10"/>
      <c r="V667" s="11"/>
      <c r="W667" s="11"/>
      <c r="AE667" s="10"/>
    </row>
    <row r="668" spans="5:31" ht="12.75">
      <c r="E668" s="8"/>
      <c r="F668" s="8"/>
      <c r="H668" s="9"/>
      <c r="I668" s="9"/>
      <c r="S668" s="10"/>
      <c r="T668" s="10"/>
      <c r="V668" s="11"/>
      <c r="W668" s="11"/>
      <c r="AE668" s="10"/>
    </row>
    <row r="669" spans="5:31" ht="12.75">
      <c r="E669" s="8"/>
      <c r="F669" s="8"/>
      <c r="H669" s="9"/>
      <c r="I669" s="9"/>
      <c r="S669" s="10"/>
      <c r="T669" s="10"/>
      <c r="V669" s="11"/>
      <c r="W669" s="11"/>
      <c r="AE669" s="10"/>
    </row>
    <row r="670" spans="5:31" ht="12.75">
      <c r="E670" s="8"/>
      <c r="F670" s="8"/>
      <c r="H670" s="9"/>
      <c r="I670" s="9"/>
      <c r="S670" s="10"/>
      <c r="T670" s="10"/>
      <c r="V670" s="11"/>
      <c r="W670" s="11"/>
      <c r="AE670" s="10"/>
    </row>
    <row r="671" spans="5:31" ht="12.75">
      <c r="E671" s="8"/>
      <c r="F671" s="8"/>
      <c r="H671" s="9"/>
      <c r="I671" s="9"/>
      <c r="S671" s="10"/>
      <c r="T671" s="10"/>
      <c r="V671" s="11"/>
      <c r="W671" s="11"/>
      <c r="AE671" s="10"/>
    </row>
    <row r="672" spans="5:31" ht="12.75">
      <c r="E672" s="8"/>
      <c r="F672" s="8"/>
      <c r="H672" s="9"/>
      <c r="I672" s="9"/>
      <c r="S672" s="10"/>
      <c r="T672" s="10"/>
      <c r="V672" s="11"/>
      <c r="W672" s="11"/>
      <c r="AE672" s="10"/>
    </row>
    <row r="673" spans="5:31" ht="12.75">
      <c r="E673" s="8"/>
      <c r="F673" s="8"/>
      <c r="H673" s="9"/>
      <c r="I673" s="9"/>
      <c r="S673" s="10"/>
      <c r="T673" s="10"/>
      <c r="V673" s="11"/>
      <c r="W673" s="11"/>
      <c r="AE673" s="10"/>
    </row>
    <row r="674" spans="5:31" ht="12.75">
      <c r="E674" s="8"/>
      <c r="F674" s="8"/>
      <c r="H674" s="9"/>
      <c r="I674" s="9"/>
      <c r="S674" s="10"/>
      <c r="T674" s="10"/>
      <c r="V674" s="11"/>
      <c r="W674" s="11"/>
      <c r="AE674" s="10"/>
    </row>
    <row r="675" spans="5:31" ht="12.75">
      <c r="E675" s="8"/>
      <c r="F675" s="8"/>
      <c r="H675" s="9"/>
      <c r="I675" s="9"/>
      <c r="S675" s="10"/>
      <c r="T675" s="10"/>
      <c r="V675" s="11"/>
      <c r="W675" s="11"/>
      <c r="AE675" s="10"/>
    </row>
    <row r="676" spans="5:31" ht="12.75">
      <c r="E676" s="8"/>
      <c r="F676" s="8"/>
      <c r="H676" s="9"/>
      <c r="I676" s="9"/>
      <c r="S676" s="10"/>
      <c r="T676" s="10"/>
      <c r="V676" s="11"/>
      <c r="W676" s="11"/>
      <c r="AE676" s="10"/>
    </row>
    <row r="677" spans="5:31" ht="12.75">
      <c r="E677" s="8"/>
      <c r="F677" s="8"/>
      <c r="H677" s="9"/>
      <c r="I677" s="9"/>
      <c r="S677" s="10"/>
      <c r="T677" s="10"/>
      <c r="V677" s="11"/>
      <c r="W677" s="11"/>
      <c r="AE677" s="10"/>
    </row>
    <row r="678" spans="5:31" ht="12.75">
      <c r="E678" s="8"/>
      <c r="F678" s="8"/>
      <c r="H678" s="9"/>
      <c r="I678" s="9"/>
      <c r="S678" s="10"/>
      <c r="T678" s="10"/>
      <c r="V678" s="11"/>
      <c r="W678" s="11"/>
      <c r="AE678" s="10"/>
    </row>
    <row r="679" spans="5:31" ht="12.75">
      <c r="E679" s="8"/>
      <c r="F679" s="8"/>
      <c r="H679" s="9"/>
      <c r="I679" s="9"/>
      <c r="S679" s="10"/>
      <c r="T679" s="10"/>
      <c r="V679" s="11"/>
      <c r="W679" s="11"/>
      <c r="AE679" s="10"/>
    </row>
    <row r="680" spans="5:41" ht="12.75">
      <c r="E680" s="8"/>
      <c r="F680" s="8"/>
      <c r="G680" s="10"/>
      <c r="H680" s="9"/>
      <c r="I680" s="9"/>
      <c r="J680" s="10"/>
      <c r="K680" s="10"/>
      <c r="L680" s="10"/>
      <c r="O680" s="10"/>
      <c r="P680" s="10"/>
      <c r="Q680" s="10"/>
      <c r="R680" s="18"/>
      <c r="S680" s="10"/>
      <c r="T680" s="10"/>
      <c r="U680" s="10"/>
      <c r="V680" s="10"/>
      <c r="W680" s="10"/>
      <c r="AE680" s="10"/>
      <c r="AF680" s="10"/>
      <c r="AG680" s="10"/>
      <c r="AH680" s="10"/>
      <c r="AI680" s="10"/>
      <c r="AK680" s="10"/>
      <c r="AL680" s="10"/>
      <c r="AM680" s="10"/>
      <c r="AN680" s="10"/>
      <c r="AO680" s="10"/>
    </row>
    <row r="681" spans="5:31" ht="12.75">
      <c r="E681" s="8"/>
      <c r="F681" s="8"/>
      <c r="H681" s="9"/>
      <c r="I681" s="9"/>
      <c r="S681" s="10"/>
      <c r="T681" s="10"/>
      <c r="V681" s="11"/>
      <c r="W681" s="11"/>
      <c r="AE681" s="10"/>
    </row>
    <row r="682" spans="5:31" ht="12.75">
      <c r="E682" s="8"/>
      <c r="F682" s="8"/>
      <c r="H682" s="9"/>
      <c r="I682" s="9"/>
      <c r="S682" s="10"/>
      <c r="T682" s="10"/>
      <c r="V682" s="11"/>
      <c r="W682" s="11"/>
      <c r="AE682" s="10"/>
    </row>
    <row r="683" spans="5:31" ht="12.75">
      <c r="E683" s="8"/>
      <c r="F683" s="8"/>
      <c r="H683" s="9"/>
      <c r="I683" s="9"/>
      <c r="S683" s="10"/>
      <c r="T683" s="10"/>
      <c r="V683" s="11"/>
      <c r="W683" s="11"/>
      <c r="AE683" s="10"/>
    </row>
    <row r="684" spans="5:31" ht="12.75">
      <c r="E684" s="8"/>
      <c r="F684" s="8"/>
      <c r="H684" s="9"/>
      <c r="I684" s="9"/>
      <c r="S684" s="10"/>
      <c r="T684" s="10"/>
      <c r="V684" s="11"/>
      <c r="W684" s="11"/>
      <c r="AE684" s="10"/>
    </row>
    <row r="685" spans="5:31" ht="12.75">
      <c r="E685" s="8"/>
      <c r="F685" s="8"/>
      <c r="H685" s="9"/>
      <c r="I685" s="9"/>
      <c r="S685" s="10"/>
      <c r="T685" s="10"/>
      <c r="V685" s="11"/>
      <c r="W685" s="11"/>
      <c r="AE685" s="10"/>
    </row>
    <row r="686" spans="5:31" ht="12.75">
      <c r="E686" s="8"/>
      <c r="F686" s="8"/>
      <c r="H686" s="9"/>
      <c r="I686" s="9"/>
      <c r="S686" s="10"/>
      <c r="T686" s="10"/>
      <c r="V686" s="11"/>
      <c r="W686" s="11"/>
      <c r="AE686" s="10"/>
    </row>
    <row r="687" spans="5:31" ht="12.75">
      <c r="E687" s="8"/>
      <c r="F687" s="8"/>
      <c r="H687" s="9"/>
      <c r="I687" s="9"/>
      <c r="S687" s="10"/>
      <c r="T687" s="10"/>
      <c r="V687" s="11"/>
      <c r="W687" s="11"/>
      <c r="AE687" s="10"/>
    </row>
    <row r="688" spans="5:31" ht="12.75">
      <c r="E688" s="8"/>
      <c r="F688" s="8"/>
      <c r="H688" s="9"/>
      <c r="I688" s="9"/>
      <c r="S688" s="10"/>
      <c r="T688" s="10"/>
      <c r="V688" s="11"/>
      <c r="W688" s="11"/>
      <c r="AE688" s="10"/>
    </row>
    <row r="689" spans="5:31" ht="12.75">
      <c r="E689" s="8"/>
      <c r="F689" s="8"/>
      <c r="H689" s="9"/>
      <c r="I689" s="9"/>
      <c r="S689" s="10"/>
      <c r="T689" s="10"/>
      <c r="V689" s="11"/>
      <c r="W689" s="11"/>
      <c r="AE689" s="10"/>
    </row>
    <row r="690" spans="5:31" ht="12.75">
      <c r="E690" s="8"/>
      <c r="F690" s="8"/>
      <c r="H690" s="9"/>
      <c r="I690" s="9"/>
      <c r="S690" s="10"/>
      <c r="T690" s="10"/>
      <c r="V690" s="11"/>
      <c r="W690" s="11"/>
      <c r="AE690" s="10"/>
    </row>
    <row r="691" spans="5:31" ht="12.75">
      <c r="E691" s="8"/>
      <c r="F691" s="8"/>
      <c r="H691" s="9"/>
      <c r="I691" s="9"/>
      <c r="S691" s="10"/>
      <c r="T691" s="10"/>
      <c r="V691" s="11"/>
      <c r="W691" s="11"/>
      <c r="AE691" s="10"/>
    </row>
    <row r="692" spans="5:31" ht="12.75">
      <c r="E692" s="8"/>
      <c r="F692" s="8"/>
      <c r="H692" s="9"/>
      <c r="I692" s="9"/>
      <c r="S692" s="10"/>
      <c r="T692" s="10"/>
      <c r="V692" s="11"/>
      <c r="W692" s="11"/>
      <c r="AE692" s="10"/>
    </row>
    <row r="693" spans="5:31" ht="12.75">
      <c r="E693" s="8"/>
      <c r="F693" s="8"/>
      <c r="H693" s="9"/>
      <c r="I693" s="9"/>
      <c r="S693" s="10"/>
      <c r="T693" s="10"/>
      <c r="V693" s="11"/>
      <c r="W693" s="11"/>
      <c r="AE693" s="10"/>
    </row>
    <row r="694" spans="5:31" ht="12.75">
      <c r="E694" s="8"/>
      <c r="F694" s="8"/>
      <c r="H694" s="9"/>
      <c r="I694" s="9"/>
      <c r="S694" s="10"/>
      <c r="T694" s="10"/>
      <c r="V694" s="11"/>
      <c r="W694" s="11"/>
      <c r="AE694" s="10"/>
    </row>
    <row r="695" spans="5:31" ht="12.75">
      <c r="E695" s="8"/>
      <c r="F695" s="8"/>
      <c r="H695" s="9"/>
      <c r="I695" s="9"/>
      <c r="S695" s="10"/>
      <c r="T695" s="10"/>
      <c r="V695" s="11"/>
      <c r="W695" s="11"/>
      <c r="AE695" s="10"/>
    </row>
    <row r="696" spans="5:31" ht="12.75">
      <c r="E696" s="8"/>
      <c r="F696" s="8"/>
      <c r="H696" s="9"/>
      <c r="I696" s="9"/>
      <c r="S696" s="10"/>
      <c r="T696" s="10"/>
      <c r="V696" s="11"/>
      <c r="W696" s="11"/>
      <c r="AE696" s="10"/>
    </row>
    <row r="697" spans="5:31" ht="12.75">
      <c r="E697" s="8"/>
      <c r="F697" s="8"/>
      <c r="H697" s="9"/>
      <c r="I697" s="9"/>
      <c r="S697" s="10"/>
      <c r="T697" s="10"/>
      <c r="V697" s="11"/>
      <c r="W697" s="11"/>
      <c r="AE697" s="10"/>
    </row>
    <row r="698" spans="5:31" ht="12.75">
      <c r="E698" s="8"/>
      <c r="F698" s="8"/>
      <c r="H698" s="9"/>
      <c r="I698" s="9"/>
      <c r="S698" s="10"/>
      <c r="T698" s="10"/>
      <c r="V698" s="11"/>
      <c r="W698" s="11"/>
      <c r="AE698" s="10"/>
    </row>
    <row r="699" spans="5:31" ht="12.75">
      <c r="E699" s="8"/>
      <c r="F699" s="8"/>
      <c r="H699" s="9"/>
      <c r="I699" s="9"/>
      <c r="S699" s="10"/>
      <c r="T699" s="10"/>
      <c r="V699" s="11"/>
      <c r="W699" s="11"/>
      <c r="AE699" s="10"/>
    </row>
    <row r="700" spans="5:31" ht="12.75">
      <c r="E700" s="8"/>
      <c r="F700" s="8"/>
      <c r="H700" s="9"/>
      <c r="I700" s="9"/>
      <c r="S700" s="10"/>
      <c r="T700" s="10"/>
      <c r="V700" s="11"/>
      <c r="W700" s="11"/>
      <c r="AE700" s="10"/>
    </row>
    <row r="701" spans="5:31" ht="12.75">
      <c r="E701" s="8"/>
      <c r="F701" s="8"/>
      <c r="H701" s="9"/>
      <c r="I701" s="9"/>
      <c r="S701" s="10"/>
      <c r="T701" s="10"/>
      <c r="V701" s="11"/>
      <c r="W701" s="11"/>
      <c r="AE701" s="10"/>
    </row>
    <row r="702" spans="5:31" ht="12.75">
      <c r="E702" s="8"/>
      <c r="F702" s="8"/>
      <c r="H702" s="9"/>
      <c r="I702" s="9"/>
      <c r="S702" s="10"/>
      <c r="T702" s="10"/>
      <c r="V702" s="11"/>
      <c r="W702" s="11"/>
      <c r="AE702" s="10"/>
    </row>
    <row r="703" spans="5:31" ht="12.75">
      <c r="E703" s="8"/>
      <c r="F703" s="8"/>
      <c r="H703" s="9"/>
      <c r="I703" s="9"/>
      <c r="S703" s="10"/>
      <c r="T703" s="10"/>
      <c r="V703" s="11"/>
      <c r="W703" s="11"/>
      <c r="AE703" s="10"/>
    </row>
    <row r="704" spans="5:31" ht="12.75">
      <c r="E704" s="8"/>
      <c r="F704" s="8"/>
      <c r="H704" s="9"/>
      <c r="I704" s="9"/>
      <c r="S704" s="10"/>
      <c r="T704" s="10"/>
      <c r="V704" s="11"/>
      <c r="W704" s="11"/>
      <c r="AE704" s="10"/>
    </row>
    <row r="705" spans="5:31" ht="12.75">
      <c r="E705" s="8"/>
      <c r="F705" s="8"/>
      <c r="H705" s="9"/>
      <c r="I705" s="9"/>
      <c r="S705" s="10"/>
      <c r="T705" s="10"/>
      <c r="V705" s="11"/>
      <c r="W705" s="11"/>
      <c r="AE705" s="10"/>
    </row>
    <row r="706" spans="5:31" ht="12.75">
      <c r="E706" s="8"/>
      <c r="F706" s="8"/>
      <c r="H706" s="9"/>
      <c r="I706" s="9"/>
      <c r="S706" s="10"/>
      <c r="T706" s="10"/>
      <c r="V706" s="11"/>
      <c r="W706" s="11"/>
      <c r="AE706" s="10"/>
    </row>
    <row r="707" spans="5:31" ht="12.75">
      <c r="E707" s="8"/>
      <c r="F707" s="8"/>
      <c r="H707" s="9"/>
      <c r="I707" s="9"/>
      <c r="S707" s="10"/>
      <c r="T707" s="10"/>
      <c r="V707" s="11"/>
      <c r="W707" s="11"/>
      <c r="AE707" s="10"/>
    </row>
    <row r="708" spans="5:31" ht="12.75">
      <c r="E708" s="8"/>
      <c r="F708" s="8"/>
      <c r="H708" s="9"/>
      <c r="I708" s="9"/>
      <c r="S708" s="10"/>
      <c r="T708" s="10"/>
      <c r="V708" s="11"/>
      <c r="W708" s="11"/>
      <c r="AE708" s="10"/>
    </row>
    <row r="709" spans="5:31" ht="12.75">
      <c r="E709" s="8"/>
      <c r="F709" s="8"/>
      <c r="H709" s="9"/>
      <c r="I709" s="9"/>
      <c r="S709" s="10"/>
      <c r="T709" s="10"/>
      <c r="V709" s="11"/>
      <c r="W709" s="11"/>
      <c r="AE709" s="10"/>
    </row>
    <row r="710" spans="5:31" ht="12.75">
      <c r="E710" s="8"/>
      <c r="F710" s="8"/>
      <c r="H710" s="9"/>
      <c r="I710" s="9"/>
      <c r="S710" s="10"/>
      <c r="T710" s="10"/>
      <c r="V710" s="11"/>
      <c r="W710" s="11"/>
      <c r="AE710" s="10"/>
    </row>
    <row r="711" spans="5:31" ht="12.75">
      <c r="E711" s="8"/>
      <c r="F711" s="8"/>
      <c r="H711" s="9"/>
      <c r="I711" s="9"/>
      <c r="S711" s="10"/>
      <c r="T711" s="10"/>
      <c r="V711" s="11"/>
      <c r="W711" s="11"/>
      <c r="AE711" s="10"/>
    </row>
    <row r="712" spans="5:31" ht="12.75">
      <c r="E712" s="8"/>
      <c r="F712" s="8"/>
      <c r="H712" s="9"/>
      <c r="I712" s="9"/>
      <c r="S712" s="10"/>
      <c r="T712" s="10"/>
      <c r="V712" s="11"/>
      <c r="W712" s="11"/>
      <c r="AE712" s="10"/>
    </row>
    <row r="713" spans="5:31" ht="12.75">
      <c r="E713" s="8"/>
      <c r="F713" s="8"/>
      <c r="H713" s="9"/>
      <c r="I713" s="9"/>
      <c r="S713" s="10"/>
      <c r="T713" s="10"/>
      <c r="V713" s="11"/>
      <c r="W713" s="11"/>
      <c r="AE713" s="10"/>
    </row>
    <row r="714" spans="5:31" ht="12.75">
      <c r="E714" s="8"/>
      <c r="F714" s="8"/>
      <c r="H714" s="9"/>
      <c r="I714" s="9"/>
      <c r="S714" s="10"/>
      <c r="T714" s="10"/>
      <c r="V714" s="11"/>
      <c r="W714" s="11"/>
      <c r="AE714" s="10"/>
    </row>
    <row r="715" spans="5:31" ht="12.75">
      <c r="E715" s="8"/>
      <c r="F715" s="8"/>
      <c r="H715" s="9"/>
      <c r="I715" s="9"/>
      <c r="S715" s="10"/>
      <c r="T715" s="10"/>
      <c r="V715" s="11"/>
      <c r="W715" s="11"/>
      <c r="AE715" s="10"/>
    </row>
    <row r="716" spans="5:31" ht="12.75">
      <c r="E716" s="8"/>
      <c r="F716" s="8"/>
      <c r="H716" s="9"/>
      <c r="I716" s="9"/>
      <c r="S716" s="10"/>
      <c r="T716" s="10"/>
      <c r="V716" s="11"/>
      <c r="W716" s="11"/>
      <c r="AE716" s="10"/>
    </row>
    <row r="717" spans="5:31" ht="12.75">
      <c r="E717" s="8"/>
      <c r="F717" s="8"/>
      <c r="H717" s="9"/>
      <c r="I717" s="9"/>
      <c r="S717" s="10"/>
      <c r="T717" s="10"/>
      <c r="V717" s="11"/>
      <c r="W717" s="11"/>
      <c r="AE717" s="10"/>
    </row>
    <row r="718" spans="5:31" ht="12.75">
      <c r="E718" s="8"/>
      <c r="F718" s="8"/>
      <c r="H718" s="9"/>
      <c r="I718" s="9"/>
      <c r="S718" s="10"/>
      <c r="T718" s="10"/>
      <c r="V718" s="11"/>
      <c r="W718" s="11"/>
      <c r="AE718" s="10"/>
    </row>
    <row r="719" spans="5:31" ht="12.75">
      <c r="E719" s="8"/>
      <c r="F719" s="8"/>
      <c r="H719" s="9"/>
      <c r="I719" s="9"/>
      <c r="S719" s="10"/>
      <c r="T719" s="10"/>
      <c r="V719" s="11"/>
      <c r="W719" s="11"/>
      <c r="AE719" s="10"/>
    </row>
    <row r="720" spans="5:31" ht="12.75">
      <c r="E720" s="8"/>
      <c r="F720" s="8"/>
      <c r="H720" s="9"/>
      <c r="I720" s="9"/>
      <c r="S720" s="10"/>
      <c r="T720" s="10"/>
      <c r="V720" s="11"/>
      <c r="W720" s="11"/>
      <c r="AE720" s="10"/>
    </row>
    <row r="721" spans="5:31" ht="12.75">
      <c r="E721" s="8"/>
      <c r="F721" s="8"/>
      <c r="H721" s="9"/>
      <c r="I721" s="9"/>
      <c r="S721" s="10"/>
      <c r="T721" s="10"/>
      <c r="V721" s="11"/>
      <c r="W721" s="11"/>
      <c r="AE721" s="10"/>
    </row>
    <row r="722" spans="5:31" ht="12.75">
      <c r="E722" s="8"/>
      <c r="F722" s="8"/>
      <c r="H722" s="9"/>
      <c r="I722" s="9"/>
      <c r="S722" s="10"/>
      <c r="T722" s="10"/>
      <c r="V722" s="11"/>
      <c r="W722" s="11"/>
      <c r="AE722" s="10"/>
    </row>
    <row r="723" spans="5:31" ht="12.75">
      <c r="E723" s="8"/>
      <c r="F723" s="8"/>
      <c r="H723" s="9"/>
      <c r="I723" s="9"/>
      <c r="S723" s="10"/>
      <c r="T723" s="10"/>
      <c r="V723" s="11"/>
      <c r="W723" s="11"/>
      <c r="AE723" s="10"/>
    </row>
    <row r="724" spans="5:31" ht="12.75">
      <c r="E724" s="8"/>
      <c r="F724" s="8"/>
      <c r="H724" s="9"/>
      <c r="I724" s="9"/>
      <c r="S724" s="10"/>
      <c r="T724" s="10"/>
      <c r="V724" s="11"/>
      <c r="W724" s="11"/>
      <c r="AE724" s="10"/>
    </row>
    <row r="725" spans="5:31" ht="12.75">
      <c r="E725" s="8"/>
      <c r="F725" s="8"/>
      <c r="H725" s="9"/>
      <c r="I725" s="9"/>
      <c r="S725" s="10"/>
      <c r="T725" s="10"/>
      <c r="V725" s="11"/>
      <c r="W725" s="11"/>
      <c r="AE725" s="10"/>
    </row>
    <row r="726" spans="5:31" ht="12.75">
      <c r="E726" s="8"/>
      <c r="F726" s="8"/>
      <c r="H726" s="9"/>
      <c r="I726" s="9"/>
      <c r="S726" s="10"/>
      <c r="T726" s="10"/>
      <c r="V726" s="11"/>
      <c r="W726" s="11"/>
      <c r="AE726" s="10"/>
    </row>
    <row r="727" spans="5:31" ht="12.75">
      <c r="E727" s="8"/>
      <c r="F727" s="8"/>
      <c r="H727" s="9"/>
      <c r="I727" s="9"/>
      <c r="S727" s="10"/>
      <c r="T727" s="10"/>
      <c r="V727" s="11"/>
      <c r="W727" s="11"/>
      <c r="AE727" s="10"/>
    </row>
    <row r="728" spans="5:31" ht="12.75">
      <c r="E728" s="8"/>
      <c r="F728" s="8"/>
      <c r="H728" s="9"/>
      <c r="I728" s="9"/>
      <c r="S728" s="10"/>
      <c r="T728" s="10"/>
      <c r="V728" s="11"/>
      <c r="W728" s="11"/>
      <c r="AE728" s="10"/>
    </row>
    <row r="729" spans="5:31" ht="12.75">
      <c r="E729" s="8"/>
      <c r="F729" s="8"/>
      <c r="H729" s="9"/>
      <c r="I729" s="9"/>
      <c r="S729" s="10"/>
      <c r="T729" s="10"/>
      <c r="V729" s="11"/>
      <c r="W729" s="11"/>
      <c r="AE729" s="10"/>
    </row>
    <row r="730" spans="5:31" ht="12.75">
      <c r="E730" s="8"/>
      <c r="F730" s="8"/>
      <c r="H730" s="9"/>
      <c r="I730" s="9"/>
      <c r="S730" s="10"/>
      <c r="T730" s="10"/>
      <c r="V730" s="11"/>
      <c r="W730" s="11"/>
      <c r="AE730" s="10"/>
    </row>
    <row r="731" spans="5:31" ht="12.75">
      <c r="E731" s="8"/>
      <c r="F731" s="8"/>
      <c r="H731" s="9"/>
      <c r="I731" s="9"/>
      <c r="S731" s="10"/>
      <c r="T731" s="10"/>
      <c r="V731" s="11"/>
      <c r="W731" s="11"/>
      <c r="AE731" s="10"/>
    </row>
    <row r="732" spans="5:31" ht="12.75">
      <c r="E732" s="8"/>
      <c r="F732" s="8"/>
      <c r="H732" s="9"/>
      <c r="I732" s="9"/>
      <c r="S732" s="10"/>
      <c r="T732" s="10"/>
      <c r="V732" s="11"/>
      <c r="W732" s="11"/>
      <c r="AE732" s="10"/>
    </row>
    <row r="733" spans="5:31" ht="12.75">
      <c r="E733" s="8"/>
      <c r="F733" s="8"/>
      <c r="H733" s="9"/>
      <c r="I733" s="9"/>
      <c r="S733" s="10"/>
      <c r="T733" s="10"/>
      <c r="V733" s="11"/>
      <c r="W733" s="11"/>
      <c r="AE733" s="10"/>
    </row>
    <row r="734" spans="5:31" ht="12.75">
      <c r="E734" s="8"/>
      <c r="F734" s="8"/>
      <c r="H734" s="9"/>
      <c r="I734" s="9"/>
      <c r="S734" s="10"/>
      <c r="T734" s="10"/>
      <c r="V734" s="11"/>
      <c r="W734" s="11"/>
      <c r="AE734" s="10"/>
    </row>
    <row r="735" spans="5:31" ht="12.75">
      <c r="E735" s="8"/>
      <c r="F735" s="8"/>
      <c r="H735" s="9"/>
      <c r="I735" s="9"/>
      <c r="S735" s="10"/>
      <c r="T735" s="10"/>
      <c r="V735" s="11"/>
      <c r="W735" s="11"/>
      <c r="AE735" s="10"/>
    </row>
    <row r="736" spans="5:31" ht="12.75">
      <c r="E736" s="8"/>
      <c r="F736" s="8"/>
      <c r="H736" s="9"/>
      <c r="I736" s="9"/>
      <c r="S736" s="10"/>
      <c r="T736" s="10"/>
      <c r="V736" s="11"/>
      <c r="W736" s="11"/>
      <c r="AE736" s="10"/>
    </row>
    <row r="737" spans="5:31" ht="12.75">
      <c r="E737" s="8"/>
      <c r="F737" s="8"/>
      <c r="H737" s="9"/>
      <c r="I737" s="9"/>
      <c r="S737" s="10"/>
      <c r="T737" s="10"/>
      <c r="V737" s="11"/>
      <c r="W737" s="11"/>
      <c r="AE737" s="10"/>
    </row>
    <row r="738" spans="5:31" ht="12.75">
      <c r="E738" s="8"/>
      <c r="F738" s="8"/>
      <c r="H738" s="9"/>
      <c r="I738" s="9"/>
      <c r="S738" s="10"/>
      <c r="T738" s="10"/>
      <c r="V738" s="11"/>
      <c r="W738" s="11"/>
      <c r="AE738" s="10"/>
    </row>
    <row r="739" spans="5:31" ht="12.75">
      <c r="E739" s="8"/>
      <c r="F739" s="8"/>
      <c r="H739" s="9"/>
      <c r="I739" s="9"/>
      <c r="S739" s="10"/>
      <c r="T739" s="10"/>
      <c r="V739" s="11"/>
      <c r="W739" s="11"/>
      <c r="AE739" s="10"/>
    </row>
    <row r="740" spans="5:31" ht="12.75">
      <c r="E740" s="8"/>
      <c r="F740" s="8"/>
      <c r="H740" s="9"/>
      <c r="I740" s="9"/>
      <c r="S740" s="10"/>
      <c r="T740" s="10"/>
      <c r="V740" s="11"/>
      <c r="W740" s="11"/>
      <c r="AE740" s="10"/>
    </row>
    <row r="741" spans="5:31" ht="12.75">
      <c r="E741" s="8"/>
      <c r="F741" s="8"/>
      <c r="H741" s="9"/>
      <c r="I741" s="9"/>
      <c r="S741" s="10"/>
      <c r="T741" s="10"/>
      <c r="V741" s="11"/>
      <c r="W741" s="11"/>
      <c r="AE741" s="10"/>
    </row>
    <row r="742" spans="5:31" ht="12.75">
      <c r="E742" s="8"/>
      <c r="F742" s="8"/>
      <c r="H742" s="9"/>
      <c r="I742" s="9"/>
      <c r="S742" s="10"/>
      <c r="T742" s="10"/>
      <c r="V742" s="11"/>
      <c r="W742" s="11"/>
      <c r="AE742" s="10"/>
    </row>
    <row r="743" spans="5:31" ht="12.75">
      <c r="E743" s="8"/>
      <c r="F743" s="8"/>
      <c r="H743" s="9"/>
      <c r="I743" s="9"/>
      <c r="S743" s="10"/>
      <c r="T743" s="10"/>
      <c r="V743" s="11"/>
      <c r="W743" s="11"/>
      <c r="AE743" s="10"/>
    </row>
    <row r="744" spans="5:31" ht="12.75">
      <c r="E744" s="8"/>
      <c r="F744" s="8"/>
      <c r="H744" s="9"/>
      <c r="I744" s="9"/>
      <c r="S744" s="10"/>
      <c r="T744" s="10"/>
      <c r="V744" s="11"/>
      <c r="W744" s="11"/>
      <c r="AE744" s="10"/>
    </row>
    <row r="745" spans="5:31" ht="12.75">
      <c r="E745" s="8"/>
      <c r="F745" s="8"/>
      <c r="H745" s="9"/>
      <c r="I745" s="9"/>
      <c r="S745" s="10"/>
      <c r="T745" s="10"/>
      <c r="V745" s="11"/>
      <c r="W745" s="11"/>
      <c r="AE745" s="10"/>
    </row>
    <row r="746" spans="5:31" ht="12.75">
      <c r="E746" s="8"/>
      <c r="F746" s="8"/>
      <c r="H746" s="9"/>
      <c r="I746" s="9"/>
      <c r="S746" s="10"/>
      <c r="T746" s="10"/>
      <c r="V746" s="11"/>
      <c r="W746" s="11"/>
      <c r="AE746" s="10"/>
    </row>
    <row r="747" spans="5:31" ht="12.75">
      <c r="E747" s="8"/>
      <c r="F747" s="8"/>
      <c r="H747" s="9"/>
      <c r="I747" s="9"/>
      <c r="S747" s="10"/>
      <c r="T747" s="10"/>
      <c r="V747" s="11"/>
      <c r="W747" s="11"/>
      <c r="AE747" s="10"/>
    </row>
    <row r="748" spans="5:31" ht="12.75">
      <c r="E748" s="8"/>
      <c r="F748" s="8"/>
      <c r="H748" s="9"/>
      <c r="I748" s="9"/>
      <c r="S748" s="10"/>
      <c r="T748" s="10"/>
      <c r="V748" s="11"/>
      <c r="W748" s="11"/>
      <c r="AE748" s="10"/>
    </row>
    <row r="749" spans="5:31" ht="12.75">
      <c r="E749" s="8"/>
      <c r="F749" s="8"/>
      <c r="H749" s="9"/>
      <c r="I749" s="9"/>
      <c r="S749" s="10"/>
      <c r="T749" s="10"/>
      <c r="V749" s="11"/>
      <c r="W749" s="11"/>
      <c r="AE749" s="10"/>
    </row>
    <row r="750" spans="5:31" ht="12.75">
      <c r="E750" s="8"/>
      <c r="F750" s="8"/>
      <c r="H750" s="9"/>
      <c r="I750" s="9"/>
      <c r="S750" s="10"/>
      <c r="T750" s="10"/>
      <c r="V750" s="11"/>
      <c r="W750" s="11"/>
      <c r="AE750" s="10"/>
    </row>
    <row r="751" spans="5:31" ht="12.75">
      <c r="E751" s="8"/>
      <c r="F751" s="8"/>
      <c r="H751" s="9"/>
      <c r="I751" s="9"/>
      <c r="S751" s="10"/>
      <c r="T751" s="10"/>
      <c r="V751" s="11"/>
      <c r="W751" s="11"/>
      <c r="AE751" s="10"/>
    </row>
    <row r="752" spans="5:31" ht="12.75">
      <c r="E752" s="8"/>
      <c r="F752" s="8"/>
      <c r="I752" s="9"/>
      <c r="S752" s="10"/>
      <c r="T752" s="10"/>
      <c r="V752" s="11"/>
      <c r="W752" s="11"/>
      <c r="AE752" s="10"/>
    </row>
    <row r="753" spans="5:31" ht="12.75">
      <c r="E753" s="8"/>
      <c r="F753" s="8"/>
      <c r="I753" s="9"/>
      <c r="S753" s="10"/>
      <c r="T753" s="10"/>
      <c r="V753" s="11"/>
      <c r="W753" s="11"/>
      <c r="AE753" s="10"/>
    </row>
    <row r="754" spans="5:31" ht="12.75">
      <c r="E754" s="8"/>
      <c r="F754" s="8"/>
      <c r="H754" s="9"/>
      <c r="I754" s="9"/>
      <c r="S754" s="10"/>
      <c r="T754" s="10"/>
      <c r="V754" s="11"/>
      <c r="W754" s="11"/>
      <c r="AE754" s="10"/>
    </row>
    <row r="755" spans="5:31" ht="12.75">
      <c r="E755" s="8"/>
      <c r="F755" s="8"/>
      <c r="I755" s="9"/>
      <c r="S755" s="10"/>
      <c r="T755" s="10"/>
      <c r="V755" s="11"/>
      <c r="W755" s="11"/>
      <c r="AE755" s="10"/>
    </row>
    <row r="756" spans="5:31" ht="12.75">
      <c r="E756" s="8"/>
      <c r="F756" s="8"/>
      <c r="H756" s="9"/>
      <c r="I756" s="9"/>
      <c r="S756" s="10"/>
      <c r="T756" s="10"/>
      <c r="V756" s="11"/>
      <c r="W756" s="11"/>
      <c r="AE756" s="10"/>
    </row>
    <row r="757" spans="5:31" ht="12.75">
      <c r="E757" s="8"/>
      <c r="F757" s="8"/>
      <c r="I757" s="9"/>
      <c r="S757" s="10"/>
      <c r="T757" s="10"/>
      <c r="V757" s="11"/>
      <c r="W757" s="11"/>
      <c r="AE757" s="10"/>
    </row>
    <row r="758" spans="5:31" ht="12.75">
      <c r="E758" s="8"/>
      <c r="F758" s="8"/>
      <c r="I758" s="9"/>
      <c r="S758" s="10"/>
      <c r="T758" s="10"/>
      <c r="V758" s="11"/>
      <c r="W758" s="11"/>
      <c r="AE758" s="10"/>
    </row>
    <row r="759" spans="5:31" ht="12.75">
      <c r="E759" s="8"/>
      <c r="F759" s="8"/>
      <c r="I759" s="9"/>
      <c r="S759" s="10"/>
      <c r="T759" s="10"/>
      <c r="V759" s="11"/>
      <c r="W759" s="11"/>
      <c r="AE759" s="10"/>
    </row>
    <row r="760" spans="5:31" ht="12.75">
      <c r="E760" s="8"/>
      <c r="F760" s="8"/>
      <c r="I760" s="9"/>
      <c r="S760" s="10"/>
      <c r="T760" s="10"/>
      <c r="V760" s="11"/>
      <c r="W760" s="11"/>
      <c r="AE760" s="10"/>
    </row>
    <row r="761" spans="5:31" ht="12.75">
      <c r="E761" s="8"/>
      <c r="F761" s="8"/>
      <c r="I761" s="9"/>
      <c r="S761" s="10"/>
      <c r="T761" s="10"/>
      <c r="V761" s="11"/>
      <c r="W761" s="11"/>
      <c r="AE761" s="10"/>
    </row>
    <row r="762" spans="5:31" ht="12.75">
      <c r="E762" s="8"/>
      <c r="F762" s="8"/>
      <c r="I762" s="9"/>
      <c r="S762" s="10"/>
      <c r="T762" s="10"/>
      <c r="V762" s="11"/>
      <c r="W762" s="11"/>
      <c r="AE762" s="10"/>
    </row>
    <row r="763" spans="5:31" ht="12.75">
      <c r="E763" s="8"/>
      <c r="F763" s="8"/>
      <c r="I763" s="9"/>
      <c r="S763" s="10"/>
      <c r="T763" s="10"/>
      <c r="V763" s="11"/>
      <c r="W763" s="11"/>
      <c r="AE763" s="10"/>
    </row>
    <row r="764" spans="5:41" ht="12.75">
      <c r="E764" s="8"/>
      <c r="F764" s="8"/>
      <c r="G764" s="10"/>
      <c r="I764" s="9"/>
      <c r="J764" s="10"/>
      <c r="K764" s="10"/>
      <c r="L764" s="10"/>
      <c r="O764" s="10"/>
      <c r="P764" s="10"/>
      <c r="Q764" s="10"/>
      <c r="R764" s="18"/>
      <c r="S764" s="10"/>
      <c r="T764" s="10"/>
      <c r="U764" s="10"/>
      <c r="V764" s="10"/>
      <c r="W764" s="10"/>
      <c r="AE764" s="10"/>
      <c r="AF764" s="10"/>
      <c r="AG764" s="10"/>
      <c r="AH764" s="10"/>
      <c r="AI764" s="10"/>
      <c r="AK764" s="10"/>
      <c r="AL764" s="10"/>
      <c r="AM764" s="10"/>
      <c r="AN764" s="10"/>
      <c r="AO764" s="10"/>
    </row>
    <row r="765" spans="5:31" ht="12.75">
      <c r="E765" s="8"/>
      <c r="F765" s="8"/>
      <c r="H765" s="9"/>
      <c r="I765" s="9"/>
      <c r="S765" s="10"/>
      <c r="T765" s="10"/>
      <c r="V765" s="11"/>
      <c r="W765" s="11"/>
      <c r="AE765" s="10"/>
    </row>
    <row r="766" spans="5:31" ht="12.75">
      <c r="E766" s="8"/>
      <c r="F766" s="8"/>
      <c r="H766" s="9"/>
      <c r="I766" s="9"/>
      <c r="S766" s="10"/>
      <c r="T766" s="10"/>
      <c r="V766" s="11"/>
      <c r="W766" s="11"/>
      <c r="AE766" s="10"/>
    </row>
    <row r="767" spans="5:31" ht="12.75">
      <c r="E767" s="8"/>
      <c r="F767" s="8"/>
      <c r="H767" s="9"/>
      <c r="I767" s="9"/>
      <c r="S767" s="10"/>
      <c r="T767" s="10"/>
      <c r="V767" s="11"/>
      <c r="W767" s="11"/>
      <c r="AE767" s="10"/>
    </row>
    <row r="768" spans="5:31" ht="12.75">
      <c r="E768" s="8"/>
      <c r="F768" s="8"/>
      <c r="H768" s="9"/>
      <c r="I768" s="9"/>
      <c r="S768" s="10"/>
      <c r="T768" s="10"/>
      <c r="V768" s="11"/>
      <c r="W768" s="11"/>
      <c r="AE768" s="10"/>
    </row>
    <row r="769" spans="5:31" ht="12.75">
      <c r="E769" s="8"/>
      <c r="F769" s="8"/>
      <c r="H769" s="9"/>
      <c r="I769" s="9"/>
      <c r="S769" s="10"/>
      <c r="T769" s="10"/>
      <c r="V769" s="11"/>
      <c r="W769" s="11"/>
      <c r="AE769" s="10"/>
    </row>
    <row r="770" spans="5:31" ht="12.75">
      <c r="E770" s="8"/>
      <c r="F770" s="8"/>
      <c r="H770" s="9"/>
      <c r="I770" s="9"/>
      <c r="S770" s="10"/>
      <c r="T770" s="10"/>
      <c r="V770" s="11"/>
      <c r="W770" s="11"/>
      <c r="AE770" s="10"/>
    </row>
    <row r="771" spans="5:31" ht="12.75">
      <c r="E771" s="8"/>
      <c r="F771" s="8"/>
      <c r="H771" s="9"/>
      <c r="I771" s="9"/>
      <c r="S771" s="10"/>
      <c r="T771" s="10"/>
      <c r="V771" s="11"/>
      <c r="W771" s="11"/>
      <c r="AE771" s="10"/>
    </row>
    <row r="772" spans="5:31" ht="12.75">
      <c r="E772" s="8"/>
      <c r="F772" s="8"/>
      <c r="H772" s="9"/>
      <c r="I772" s="9"/>
      <c r="S772" s="10"/>
      <c r="T772" s="10"/>
      <c r="V772" s="11"/>
      <c r="W772" s="11"/>
      <c r="AE772" s="10"/>
    </row>
    <row r="773" spans="5:31" ht="12.75">
      <c r="E773" s="8"/>
      <c r="F773" s="8"/>
      <c r="H773" s="9"/>
      <c r="I773" s="9"/>
      <c r="S773" s="10"/>
      <c r="T773" s="10"/>
      <c r="V773" s="11"/>
      <c r="W773" s="11"/>
      <c r="AE773" s="10"/>
    </row>
    <row r="774" spans="5:31" ht="12.75">
      <c r="E774" s="8"/>
      <c r="F774" s="8"/>
      <c r="H774" s="9"/>
      <c r="I774" s="9"/>
      <c r="S774" s="10"/>
      <c r="T774" s="10"/>
      <c r="V774" s="11"/>
      <c r="W774" s="11"/>
      <c r="AE774" s="10"/>
    </row>
    <row r="775" spans="5:31" ht="12.75">
      <c r="E775" s="8"/>
      <c r="F775" s="8"/>
      <c r="H775" s="9"/>
      <c r="I775" s="9"/>
      <c r="S775" s="10"/>
      <c r="T775" s="10"/>
      <c r="V775" s="11"/>
      <c r="W775" s="11"/>
      <c r="AE775" s="10"/>
    </row>
    <row r="776" spans="5:31" ht="12.75">
      <c r="E776" s="8"/>
      <c r="F776" s="8"/>
      <c r="H776" s="9"/>
      <c r="I776" s="9"/>
      <c r="S776" s="10"/>
      <c r="T776" s="10"/>
      <c r="V776" s="11"/>
      <c r="W776" s="11"/>
      <c r="AE776" s="10"/>
    </row>
    <row r="777" spans="5:31" ht="12.75">
      <c r="E777" s="8"/>
      <c r="F777" s="8"/>
      <c r="H777" s="9"/>
      <c r="I777" s="9"/>
      <c r="S777" s="10"/>
      <c r="T777" s="10"/>
      <c r="V777" s="11"/>
      <c r="W777" s="11"/>
      <c r="AE777" s="10"/>
    </row>
    <row r="778" spans="5:31" ht="12.75">
      <c r="E778" s="8"/>
      <c r="F778" s="8"/>
      <c r="H778" s="9"/>
      <c r="I778" s="9"/>
      <c r="S778" s="10"/>
      <c r="T778" s="10"/>
      <c r="V778" s="11"/>
      <c r="W778" s="11"/>
      <c r="AE778" s="10"/>
    </row>
    <row r="779" spans="5:31" ht="12.75">
      <c r="E779" s="8"/>
      <c r="F779" s="8"/>
      <c r="H779" s="9"/>
      <c r="I779" s="9"/>
      <c r="S779" s="10"/>
      <c r="T779" s="10"/>
      <c r="V779" s="11"/>
      <c r="W779" s="11"/>
      <c r="AE779" s="10"/>
    </row>
    <row r="780" spans="5:31" ht="12.75">
      <c r="E780" s="8"/>
      <c r="F780" s="8"/>
      <c r="H780" s="9"/>
      <c r="I780" s="9"/>
      <c r="S780" s="10"/>
      <c r="T780" s="10"/>
      <c r="V780" s="11"/>
      <c r="W780" s="11"/>
      <c r="AE780" s="10"/>
    </row>
    <row r="781" spans="5:31" ht="12.75">
      <c r="E781" s="8"/>
      <c r="F781" s="8"/>
      <c r="H781" s="9"/>
      <c r="I781" s="9"/>
      <c r="S781" s="10"/>
      <c r="T781" s="10"/>
      <c r="V781" s="11"/>
      <c r="W781" s="11"/>
      <c r="AE781" s="10"/>
    </row>
    <row r="782" spans="5:31" ht="12.75">
      <c r="E782" s="8"/>
      <c r="F782" s="8"/>
      <c r="H782" s="9"/>
      <c r="I782" s="9"/>
      <c r="S782" s="10"/>
      <c r="T782" s="10"/>
      <c r="V782" s="11"/>
      <c r="W782" s="11"/>
      <c r="AE782" s="10"/>
    </row>
    <row r="783" spans="5:31" ht="12.75">
      <c r="E783" s="8"/>
      <c r="F783" s="8"/>
      <c r="H783" s="9"/>
      <c r="I783" s="9"/>
      <c r="S783" s="10"/>
      <c r="T783" s="10"/>
      <c r="V783" s="11"/>
      <c r="W783" s="11"/>
      <c r="AE783" s="10"/>
    </row>
    <row r="784" spans="5:31" ht="12.75">
      <c r="E784" s="8"/>
      <c r="F784" s="8"/>
      <c r="H784" s="9"/>
      <c r="I784" s="9"/>
      <c r="S784" s="10"/>
      <c r="T784" s="10"/>
      <c r="V784" s="11"/>
      <c r="W784" s="11"/>
      <c r="AE784" s="10"/>
    </row>
    <row r="785" spans="5:31" ht="12.75">
      <c r="E785" s="8"/>
      <c r="F785" s="8"/>
      <c r="H785" s="9"/>
      <c r="I785" s="9"/>
      <c r="S785" s="10"/>
      <c r="T785" s="10"/>
      <c r="V785" s="11"/>
      <c r="W785" s="11"/>
      <c r="AE785" s="10"/>
    </row>
    <row r="786" spans="5:31" ht="12.75">
      <c r="E786" s="8"/>
      <c r="F786" s="8"/>
      <c r="H786" s="9"/>
      <c r="I786" s="9"/>
      <c r="S786" s="10"/>
      <c r="T786" s="10"/>
      <c r="V786" s="11"/>
      <c r="W786" s="11"/>
      <c r="AE786" s="10"/>
    </row>
    <row r="787" spans="5:31" ht="12.75">
      <c r="E787" s="8"/>
      <c r="F787" s="8"/>
      <c r="H787" s="9"/>
      <c r="I787" s="9"/>
      <c r="S787" s="10"/>
      <c r="T787" s="10"/>
      <c r="V787" s="11"/>
      <c r="W787" s="11"/>
      <c r="AE787" s="10"/>
    </row>
    <row r="788" spans="5:31" ht="12.75">
      <c r="E788" s="8"/>
      <c r="F788" s="8"/>
      <c r="H788" s="9"/>
      <c r="I788" s="9"/>
      <c r="S788" s="10"/>
      <c r="T788" s="10"/>
      <c r="V788" s="11"/>
      <c r="W788" s="11"/>
      <c r="AE788" s="10"/>
    </row>
    <row r="789" spans="5:31" ht="12.75">
      <c r="E789" s="8"/>
      <c r="F789" s="8"/>
      <c r="H789" s="9"/>
      <c r="I789" s="9"/>
      <c r="S789" s="10"/>
      <c r="T789" s="10"/>
      <c r="V789" s="11"/>
      <c r="W789" s="11"/>
      <c r="AE789" s="10"/>
    </row>
    <row r="790" spans="5:31" ht="12.75">
      <c r="E790" s="8"/>
      <c r="F790" s="8"/>
      <c r="H790" s="9"/>
      <c r="I790" s="9"/>
      <c r="S790" s="10"/>
      <c r="T790" s="10"/>
      <c r="V790" s="11"/>
      <c r="W790" s="11"/>
      <c r="AE790" s="10"/>
    </row>
    <row r="791" spans="5:31" ht="12.75">
      <c r="E791" s="8"/>
      <c r="F791" s="8"/>
      <c r="H791" s="9"/>
      <c r="I791" s="9"/>
      <c r="S791" s="10"/>
      <c r="T791" s="10"/>
      <c r="V791" s="11"/>
      <c r="W791" s="11"/>
      <c r="AE791" s="10"/>
    </row>
    <row r="792" spans="5:31" ht="12.75">
      <c r="E792" s="8"/>
      <c r="F792" s="8"/>
      <c r="H792" s="9"/>
      <c r="I792" s="9"/>
      <c r="S792" s="10"/>
      <c r="T792" s="10"/>
      <c r="V792" s="11"/>
      <c r="W792" s="11"/>
      <c r="AE792" s="10"/>
    </row>
    <row r="793" spans="5:31" ht="12.75">
      <c r="E793" s="8"/>
      <c r="F793" s="8"/>
      <c r="H793" s="9"/>
      <c r="I793" s="9"/>
      <c r="S793" s="10"/>
      <c r="T793" s="10"/>
      <c r="V793" s="11"/>
      <c r="W793" s="11"/>
      <c r="AE793" s="10"/>
    </row>
    <row r="794" spans="5:31" ht="12.75">
      <c r="E794" s="8"/>
      <c r="F794" s="8"/>
      <c r="H794" s="9"/>
      <c r="I794" s="9"/>
      <c r="S794" s="10"/>
      <c r="T794" s="10"/>
      <c r="V794" s="11"/>
      <c r="W794" s="11"/>
      <c r="AE794" s="10"/>
    </row>
    <row r="795" spans="5:31" ht="12.75">
      <c r="E795" s="8"/>
      <c r="F795" s="8"/>
      <c r="H795" s="9"/>
      <c r="I795" s="9"/>
      <c r="S795" s="10"/>
      <c r="T795" s="10"/>
      <c r="V795" s="11"/>
      <c r="W795" s="11"/>
      <c r="AE795" s="10"/>
    </row>
    <row r="796" spans="5:31" ht="12.75">
      <c r="E796" s="8"/>
      <c r="F796" s="8"/>
      <c r="H796" s="9"/>
      <c r="I796" s="9"/>
      <c r="S796" s="10"/>
      <c r="T796" s="10"/>
      <c r="V796" s="11"/>
      <c r="W796" s="11"/>
      <c r="AE796" s="10"/>
    </row>
    <row r="797" spans="5:31" ht="12.75">
      <c r="E797" s="8"/>
      <c r="F797" s="8"/>
      <c r="H797" s="9"/>
      <c r="I797" s="9"/>
      <c r="S797" s="10"/>
      <c r="T797" s="10"/>
      <c r="V797" s="11"/>
      <c r="W797" s="11"/>
      <c r="AE797" s="10"/>
    </row>
    <row r="798" spans="5:31" ht="12.75">
      <c r="E798" s="8"/>
      <c r="F798" s="8"/>
      <c r="H798" s="9"/>
      <c r="I798" s="9"/>
      <c r="S798" s="10"/>
      <c r="T798" s="10"/>
      <c r="V798" s="11"/>
      <c r="W798" s="11"/>
      <c r="AE798" s="10"/>
    </row>
    <row r="799" spans="5:31" ht="12.75">
      <c r="E799" s="8"/>
      <c r="F799" s="8"/>
      <c r="H799" s="9"/>
      <c r="I799" s="9"/>
      <c r="S799" s="10"/>
      <c r="T799" s="10"/>
      <c r="V799" s="11"/>
      <c r="W799" s="11"/>
      <c r="AE799" s="10"/>
    </row>
    <row r="800" spans="5:31" ht="12.75">
      <c r="E800" s="8"/>
      <c r="F800" s="8"/>
      <c r="H800" s="9"/>
      <c r="I800" s="9"/>
      <c r="S800" s="10"/>
      <c r="T800" s="10"/>
      <c r="V800" s="11"/>
      <c r="W800" s="11"/>
      <c r="AE800" s="10"/>
    </row>
    <row r="801" spans="5:31" ht="12.75">
      <c r="E801" s="8"/>
      <c r="F801" s="8"/>
      <c r="H801" s="9"/>
      <c r="I801" s="9"/>
      <c r="S801" s="10"/>
      <c r="T801" s="10"/>
      <c r="V801" s="11"/>
      <c r="W801" s="11"/>
      <c r="AE801" s="10"/>
    </row>
    <row r="802" spans="5:31" ht="12.75">
      <c r="E802" s="8"/>
      <c r="F802" s="8"/>
      <c r="H802" s="9"/>
      <c r="I802" s="9"/>
      <c r="S802" s="10"/>
      <c r="T802" s="10"/>
      <c r="V802" s="11"/>
      <c r="W802" s="11"/>
      <c r="AE802" s="10"/>
    </row>
    <row r="803" spans="5:31" ht="12.75">
      <c r="E803" s="8"/>
      <c r="F803" s="8"/>
      <c r="H803" s="9"/>
      <c r="I803" s="9"/>
      <c r="S803" s="10"/>
      <c r="T803" s="10"/>
      <c r="V803" s="11"/>
      <c r="W803" s="11"/>
      <c r="AE803" s="10"/>
    </row>
    <row r="804" spans="5:31" ht="12.75">
      <c r="E804" s="8"/>
      <c r="F804" s="8"/>
      <c r="H804" s="9"/>
      <c r="I804" s="9"/>
      <c r="S804" s="10"/>
      <c r="T804" s="10"/>
      <c r="V804" s="11"/>
      <c r="W804" s="11"/>
      <c r="AE804" s="10"/>
    </row>
    <row r="805" spans="5:31" ht="12.75">
      <c r="E805" s="8"/>
      <c r="F805" s="8"/>
      <c r="H805" s="9"/>
      <c r="I805" s="9"/>
      <c r="S805" s="10"/>
      <c r="T805" s="10"/>
      <c r="V805" s="11"/>
      <c r="W805" s="11"/>
      <c r="AE805" s="10"/>
    </row>
    <row r="806" spans="5:31" ht="12.75">
      <c r="E806" s="8"/>
      <c r="F806" s="8"/>
      <c r="H806" s="9"/>
      <c r="I806" s="9"/>
      <c r="S806" s="10"/>
      <c r="T806" s="10"/>
      <c r="V806" s="11"/>
      <c r="W806" s="11"/>
      <c r="AE806" s="10"/>
    </row>
    <row r="807" spans="5:31" ht="12.75">
      <c r="E807" s="8"/>
      <c r="F807" s="8"/>
      <c r="H807" s="9"/>
      <c r="I807" s="9"/>
      <c r="S807" s="10"/>
      <c r="T807" s="10"/>
      <c r="V807" s="11"/>
      <c r="W807" s="11"/>
      <c r="AE807" s="10"/>
    </row>
    <row r="808" spans="5:31" ht="12.75">
      <c r="E808" s="8"/>
      <c r="F808" s="8"/>
      <c r="H808" s="9"/>
      <c r="I808" s="9"/>
      <c r="S808" s="10"/>
      <c r="T808" s="10"/>
      <c r="V808" s="11"/>
      <c r="W808" s="11"/>
      <c r="AE808" s="10"/>
    </row>
    <row r="809" spans="5:31" ht="12.75">
      <c r="E809" s="8"/>
      <c r="F809" s="8"/>
      <c r="H809" s="9"/>
      <c r="I809" s="9"/>
      <c r="S809" s="10"/>
      <c r="T809" s="10"/>
      <c r="V809" s="11"/>
      <c r="W809" s="11"/>
      <c r="AE809" s="10"/>
    </row>
    <row r="810" spans="5:31" ht="12.75">
      <c r="E810" s="8"/>
      <c r="F810" s="8"/>
      <c r="H810" s="9"/>
      <c r="I810" s="9"/>
      <c r="S810" s="10"/>
      <c r="T810" s="10"/>
      <c r="V810" s="11"/>
      <c r="W810" s="11"/>
      <c r="AE810" s="10"/>
    </row>
    <row r="811" spans="5:31" ht="12.75">
      <c r="E811" s="8"/>
      <c r="F811" s="8"/>
      <c r="H811" s="9"/>
      <c r="I811" s="9"/>
      <c r="S811" s="10"/>
      <c r="T811" s="10"/>
      <c r="V811" s="11"/>
      <c r="W811" s="11"/>
      <c r="AE811" s="10"/>
    </row>
    <row r="812" spans="5:31" ht="12.75">
      <c r="E812" s="8"/>
      <c r="F812" s="8"/>
      <c r="H812" s="9"/>
      <c r="I812" s="9"/>
      <c r="S812" s="10"/>
      <c r="T812" s="10"/>
      <c r="V812" s="11"/>
      <c r="W812" s="11"/>
      <c r="AE812" s="10"/>
    </row>
    <row r="813" spans="5:31" ht="12.75">
      <c r="E813" s="8"/>
      <c r="F813" s="8"/>
      <c r="H813" s="9"/>
      <c r="I813" s="9"/>
      <c r="S813" s="10"/>
      <c r="T813" s="10"/>
      <c r="V813" s="11"/>
      <c r="W813" s="11"/>
      <c r="AE813" s="10"/>
    </row>
    <row r="814" spans="5:31" ht="12.75">
      <c r="E814" s="8"/>
      <c r="F814" s="8"/>
      <c r="H814" s="9"/>
      <c r="I814" s="9"/>
      <c r="S814" s="10"/>
      <c r="T814" s="10"/>
      <c r="V814" s="11"/>
      <c r="W814" s="11"/>
      <c r="AE814" s="10"/>
    </row>
    <row r="815" spans="5:31" ht="12.75">
      <c r="E815" s="8"/>
      <c r="F815" s="8"/>
      <c r="I815" s="9"/>
      <c r="S815" s="10"/>
      <c r="T815" s="10"/>
      <c r="V815" s="11"/>
      <c r="W815" s="11"/>
      <c r="AE815" s="10"/>
    </row>
    <row r="816" spans="5:31" ht="12.75">
      <c r="E816" s="8"/>
      <c r="F816" s="8"/>
      <c r="H816" s="9"/>
      <c r="S816" s="10"/>
      <c r="T816" s="10"/>
      <c r="V816" s="11"/>
      <c r="W816" s="11"/>
      <c r="AE816" s="10"/>
    </row>
    <row r="817" spans="5:31" ht="12.75">
      <c r="E817" s="8"/>
      <c r="F817" s="8"/>
      <c r="H817" s="9"/>
      <c r="S817" s="10"/>
      <c r="T817" s="10"/>
      <c r="V817" s="11"/>
      <c r="W817" s="11"/>
      <c r="AE817" s="10"/>
    </row>
    <row r="818" spans="5:31" ht="12.75">
      <c r="E818" s="8"/>
      <c r="F818" s="8"/>
      <c r="H818" s="9"/>
      <c r="S818" s="10"/>
      <c r="T818" s="10"/>
      <c r="V818" s="11"/>
      <c r="W818" s="11"/>
      <c r="AE818" s="10"/>
    </row>
    <row r="819" spans="5:31" ht="12.75">
      <c r="E819" s="8"/>
      <c r="F819" s="8"/>
      <c r="H819" s="9"/>
      <c r="S819" s="10"/>
      <c r="T819" s="10"/>
      <c r="V819" s="11"/>
      <c r="W819" s="11"/>
      <c r="AE819" s="10"/>
    </row>
    <row r="820" spans="5:31" ht="12.75">
      <c r="E820" s="8"/>
      <c r="F820" s="8"/>
      <c r="H820" s="9"/>
      <c r="S820" s="10"/>
      <c r="T820" s="10"/>
      <c r="V820" s="11"/>
      <c r="W820" s="11"/>
      <c r="AE820" s="10"/>
    </row>
    <row r="821" spans="5:41" ht="12.75">
      <c r="E821" s="8"/>
      <c r="F821" s="8"/>
      <c r="G821" s="10"/>
      <c r="H821" s="9"/>
      <c r="J821" s="10"/>
      <c r="K821" s="10"/>
      <c r="L821" s="10"/>
      <c r="O821" s="10"/>
      <c r="P821" s="10"/>
      <c r="Q821" s="10"/>
      <c r="R821" s="18"/>
      <c r="S821" s="10"/>
      <c r="T821" s="10"/>
      <c r="U821" s="10"/>
      <c r="V821" s="10"/>
      <c r="W821" s="10"/>
      <c r="AE821" s="10"/>
      <c r="AF821" s="10"/>
      <c r="AG821" s="10"/>
      <c r="AH821" s="10"/>
      <c r="AI821" s="10"/>
      <c r="AK821" s="10"/>
      <c r="AL821" s="10"/>
      <c r="AM821" s="10"/>
      <c r="AN821" s="10"/>
      <c r="AO821" s="10"/>
    </row>
    <row r="822" spans="5:31" ht="12.75">
      <c r="E822" s="8"/>
      <c r="F822" s="8"/>
      <c r="H822" s="9"/>
      <c r="I822" s="9"/>
      <c r="S822" s="10"/>
      <c r="T822" s="10"/>
      <c r="V822" s="11"/>
      <c r="W822" s="11"/>
      <c r="AE822" s="10"/>
    </row>
    <row r="823" spans="5:31" ht="12.75">
      <c r="E823" s="8"/>
      <c r="F823" s="8"/>
      <c r="H823" s="9"/>
      <c r="I823" s="9"/>
      <c r="S823" s="10"/>
      <c r="T823" s="10"/>
      <c r="V823" s="11"/>
      <c r="W823" s="11"/>
      <c r="AE823" s="10"/>
    </row>
    <row r="824" spans="5:31" ht="12.75">
      <c r="E824" s="8"/>
      <c r="F824" s="8"/>
      <c r="H824" s="9"/>
      <c r="I824" s="9"/>
      <c r="S824" s="10"/>
      <c r="T824" s="10"/>
      <c r="V824" s="11"/>
      <c r="W824" s="11"/>
      <c r="AE824" s="10"/>
    </row>
    <row r="825" spans="5:31" ht="12.75">
      <c r="E825" s="8"/>
      <c r="F825" s="8"/>
      <c r="H825" s="9"/>
      <c r="I825" s="9"/>
      <c r="S825" s="10"/>
      <c r="T825" s="10"/>
      <c r="V825" s="11"/>
      <c r="W825" s="11"/>
      <c r="AE825" s="10"/>
    </row>
    <row r="826" spans="5:31" ht="12.75">
      <c r="E826" s="8"/>
      <c r="F826" s="8"/>
      <c r="H826" s="9"/>
      <c r="I826" s="9"/>
      <c r="S826" s="10"/>
      <c r="T826" s="10"/>
      <c r="V826" s="11"/>
      <c r="W826" s="11"/>
      <c r="AE826" s="10"/>
    </row>
    <row r="827" spans="5:31" ht="12.75">
      <c r="E827" s="8"/>
      <c r="F827" s="8"/>
      <c r="H827" s="9"/>
      <c r="I827" s="9"/>
      <c r="S827" s="10"/>
      <c r="T827" s="10"/>
      <c r="V827" s="11"/>
      <c r="W827" s="11"/>
      <c r="AE827" s="10"/>
    </row>
    <row r="828" spans="5:31" ht="12.75">
      <c r="E828" s="8"/>
      <c r="F828" s="8"/>
      <c r="H828" s="9"/>
      <c r="I828" s="9"/>
      <c r="S828" s="10"/>
      <c r="T828" s="10"/>
      <c r="V828" s="11"/>
      <c r="W828" s="11"/>
      <c r="AE828" s="10"/>
    </row>
    <row r="829" spans="5:31" ht="12.75">
      <c r="E829" s="8"/>
      <c r="F829" s="8"/>
      <c r="H829" s="9"/>
      <c r="I829" s="9"/>
      <c r="S829" s="10"/>
      <c r="T829" s="10"/>
      <c r="V829" s="11"/>
      <c r="W829" s="11"/>
      <c r="AE829" s="10"/>
    </row>
    <row r="830" spans="5:31" ht="12.75">
      <c r="E830" s="8"/>
      <c r="F830" s="8"/>
      <c r="H830" s="9"/>
      <c r="I830" s="9"/>
      <c r="S830" s="10"/>
      <c r="T830" s="10"/>
      <c r="V830" s="11"/>
      <c r="W830" s="11"/>
      <c r="AE830" s="10"/>
    </row>
    <row r="831" spans="5:31" ht="12.75">
      <c r="E831" s="8"/>
      <c r="F831" s="8"/>
      <c r="H831" s="9"/>
      <c r="I831" s="9"/>
      <c r="S831" s="10"/>
      <c r="T831" s="10"/>
      <c r="V831" s="11"/>
      <c r="W831" s="11"/>
      <c r="AE831" s="10"/>
    </row>
    <row r="832" spans="5:31" ht="12.75">
      <c r="E832" s="8"/>
      <c r="F832" s="8"/>
      <c r="H832" s="9"/>
      <c r="I832" s="9"/>
      <c r="S832" s="10"/>
      <c r="T832" s="10"/>
      <c r="V832" s="11"/>
      <c r="W832" s="11"/>
      <c r="AE832" s="10"/>
    </row>
    <row r="833" spans="5:31" ht="12.75">
      <c r="E833" s="8"/>
      <c r="F833" s="8"/>
      <c r="H833" s="9"/>
      <c r="I833" s="9"/>
      <c r="S833" s="10"/>
      <c r="T833" s="10"/>
      <c r="V833" s="11"/>
      <c r="W833" s="11"/>
      <c r="AE833" s="10"/>
    </row>
    <row r="834" spans="5:31" ht="12.75">
      <c r="E834" s="8"/>
      <c r="F834" s="8"/>
      <c r="H834" s="9"/>
      <c r="I834" s="9"/>
      <c r="S834" s="10"/>
      <c r="T834" s="10"/>
      <c r="V834" s="11"/>
      <c r="W834" s="11"/>
      <c r="AE834" s="10"/>
    </row>
    <row r="835" spans="5:31" ht="12.75">
      <c r="E835" s="8"/>
      <c r="F835" s="8"/>
      <c r="H835" s="9"/>
      <c r="I835" s="9"/>
      <c r="S835" s="10"/>
      <c r="T835" s="10"/>
      <c r="V835" s="11"/>
      <c r="W835" s="11"/>
      <c r="AE835" s="10"/>
    </row>
    <row r="836" spans="5:31" ht="12.75">
      <c r="E836" s="8"/>
      <c r="F836" s="8"/>
      <c r="H836" s="9"/>
      <c r="I836" s="9"/>
      <c r="S836" s="10"/>
      <c r="T836" s="10"/>
      <c r="V836" s="11"/>
      <c r="W836" s="11"/>
      <c r="AE836" s="10"/>
    </row>
    <row r="837" spans="5:31" ht="12.75">
      <c r="E837" s="8"/>
      <c r="F837" s="8"/>
      <c r="H837" s="9"/>
      <c r="I837" s="9"/>
      <c r="S837" s="10"/>
      <c r="T837" s="10"/>
      <c r="V837" s="11"/>
      <c r="W837" s="11"/>
      <c r="AE837" s="10"/>
    </row>
    <row r="838" spans="5:31" ht="12.75">
      <c r="E838" s="8"/>
      <c r="F838" s="8"/>
      <c r="H838" s="9"/>
      <c r="I838" s="9"/>
      <c r="S838" s="10"/>
      <c r="T838" s="10"/>
      <c r="V838" s="11"/>
      <c r="W838" s="11"/>
      <c r="AE838" s="10"/>
    </row>
    <row r="839" spans="5:31" ht="12.75">
      <c r="E839" s="8"/>
      <c r="F839" s="8"/>
      <c r="H839" s="9"/>
      <c r="I839" s="9"/>
      <c r="S839" s="10"/>
      <c r="T839" s="10"/>
      <c r="V839" s="11"/>
      <c r="W839" s="11"/>
      <c r="AE839" s="10"/>
    </row>
    <row r="840" spans="5:31" ht="12.75">
      <c r="E840" s="8"/>
      <c r="F840" s="8"/>
      <c r="H840" s="9"/>
      <c r="I840" s="9"/>
      <c r="S840" s="10"/>
      <c r="T840" s="10"/>
      <c r="V840" s="11"/>
      <c r="W840" s="11"/>
      <c r="AE840" s="10"/>
    </row>
    <row r="841" spans="5:31" ht="12.75">
      <c r="E841" s="8"/>
      <c r="F841" s="8"/>
      <c r="H841" s="9"/>
      <c r="I841" s="9"/>
      <c r="S841" s="10"/>
      <c r="T841" s="10"/>
      <c r="V841" s="11"/>
      <c r="W841" s="11"/>
      <c r="AE841" s="10"/>
    </row>
    <row r="842" spans="5:31" ht="12.75">
      <c r="E842" s="8"/>
      <c r="F842" s="8"/>
      <c r="H842" s="9"/>
      <c r="I842" s="9"/>
      <c r="S842" s="10"/>
      <c r="T842" s="10"/>
      <c r="V842" s="11"/>
      <c r="W842" s="11"/>
      <c r="AE842" s="10"/>
    </row>
    <row r="843" spans="5:31" ht="12.75">
      <c r="E843" s="8"/>
      <c r="F843" s="8"/>
      <c r="H843" s="9"/>
      <c r="I843" s="9"/>
      <c r="S843" s="10"/>
      <c r="T843" s="10"/>
      <c r="V843" s="11"/>
      <c r="W843" s="11"/>
      <c r="AE843" s="10"/>
    </row>
    <row r="844" spans="5:31" ht="12.75">
      <c r="E844" s="8"/>
      <c r="F844" s="8"/>
      <c r="H844" s="9"/>
      <c r="I844" s="9"/>
      <c r="S844" s="10"/>
      <c r="T844" s="10"/>
      <c r="V844" s="11"/>
      <c r="W844" s="11"/>
      <c r="AE844" s="10"/>
    </row>
    <row r="845" spans="5:31" ht="12.75">
      <c r="E845" s="8"/>
      <c r="F845" s="8"/>
      <c r="H845" s="9"/>
      <c r="I845" s="9"/>
      <c r="S845" s="10"/>
      <c r="T845" s="10"/>
      <c r="V845" s="11"/>
      <c r="W845" s="11"/>
      <c r="AE845" s="10"/>
    </row>
    <row r="846" spans="5:31" ht="12.75">
      <c r="E846" s="8"/>
      <c r="F846" s="8"/>
      <c r="H846" s="9"/>
      <c r="I846" s="9"/>
      <c r="S846" s="10"/>
      <c r="T846" s="10"/>
      <c r="V846" s="11"/>
      <c r="W846" s="11"/>
      <c r="AE846" s="10"/>
    </row>
    <row r="847" spans="5:31" ht="12.75">
      <c r="E847" s="8"/>
      <c r="F847" s="8"/>
      <c r="H847" s="9"/>
      <c r="I847" s="9"/>
      <c r="S847" s="10"/>
      <c r="T847" s="10"/>
      <c r="V847" s="11"/>
      <c r="W847" s="11"/>
      <c r="AE847" s="10"/>
    </row>
    <row r="848" spans="5:31" ht="12.75">
      <c r="E848" s="8"/>
      <c r="F848" s="8"/>
      <c r="H848" s="9"/>
      <c r="I848" s="9"/>
      <c r="S848" s="10"/>
      <c r="T848" s="10"/>
      <c r="V848" s="11"/>
      <c r="W848" s="11"/>
      <c r="AE848" s="10"/>
    </row>
    <row r="849" spans="5:31" ht="12.75">
      <c r="E849" s="8"/>
      <c r="F849" s="8"/>
      <c r="H849" s="9"/>
      <c r="I849" s="9"/>
      <c r="S849" s="10"/>
      <c r="T849" s="10"/>
      <c r="V849" s="11"/>
      <c r="W849" s="11"/>
      <c r="AE849" s="10"/>
    </row>
    <row r="850" spans="5:31" ht="12.75">
      <c r="E850" s="8"/>
      <c r="F850" s="8"/>
      <c r="H850" s="9"/>
      <c r="I850" s="9"/>
      <c r="S850" s="10"/>
      <c r="T850" s="10"/>
      <c r="V850" s="11"/>
      <c r="W850" s="11"/>
      <c r="AE850" s="10"/>
    </row>
    <row r="851" spans="5:31" ht="12.75">
      <c r="E851" s="8"/>
      <c r="F851" s="8"/>
      <c r="H851" s="9"/>
      <c r="I851" s="9"/>
      <c r="S851" s="10"/>
      <c r="T851" s="10"/>
      <c r="V851" s="11"/>
      <c r="W851" s="11"/>
      <c r="AE851" s="10"/>
    </row>
    <row r="852" spans="5:31" ht="12.75">
      <c r="E852" s="8"/>
      <c r="F852" s="8"/>
      <c r="H852" s="9"/>
      <c r="I852" s="9"/>
      <c r="S852" s="10"/>
      <c r="T852" s="10"/>
      <c r="V852" s="11"/>
      <c r="W852" s="11"/>
      <c r="AE852" s="10"/>
    </row>
    <row r="853" spans="5:31" ht="12.75">
      <c r="E853" s="8"/>
      <c r="F853" s="8"/>
      <c r="H853" s="9"/>
      <c r="I853" s="9"/>
      <c r="S853" s="10"/>
      <c r="T853" s="10"/>
      <c r="V853" s="11"/>
      <c r="W853" s="11"/>
      <c r="AE853" s="10"/>
    </row>
    <row r="854" spans="5:31" ht="12.75">
      <c r="E854" s="8"/>
      <c r="F854" s="8"/>
      <c r="H854" s="9"/>
      <c r="I854" s="9"/>
      <c r="S854" s="10"/>
      <c r="T854" s="10"/>
      <c r="V854" s="11"/>
      <c r="W854" s="11"/>
      <c r="AE854" s="10"/>
    </row>
    <row r="855" spans="5:31" ht="12.75">
      <c r="E855" s="8"/>
      <c r="F855" s="8"/>
      <c r="H855" s="9"/>
      <c r="I855" s="9"/>
      <c r="S855" s="10"/>
      <c r="T855" s="10"/>
      <c r="V855" s="11"/>
      <c r="W855" s="11"/>
      <c r="AE855" s="10"/>
    </row>
    <row r="856" spans="5:31" ht="12.75">
      <c r="E856" s="8"/>
      <c r="F856" s="8"/>
      <c r="H856" s="9"/>
      <c r="I856" s="9"/>
      <c r="S856" s="10"/>
      <c r="T856" s="10"/>
      <c r="V856" s="11"/>
      <c r="W856" s="11"/>
      <c r="AE856" s="10"/>
    </row>
    <row r="857" spans="5:31" ht="12.75">
      <c r="E857" s="8"/>
      <c r="F857" s="8"/>
      <c r="H857" s="9"/>
      <c r="I857" s="9"/>
      <c r="S857" s="10"/>
      <c r="T857" s="10"/>
      <c r="V857" s="11"/>
      <c r="W857" s="11"/>
      <c r="AE857" s="10"/>
    </row>
    <row r="858" spans="5:31" ht="12.75">
      <c r="E858" s="8"/>
      <c r="F858" s="8"/>
      <c r="H858" s="9"/>
      <c r="I858" s="9"/>
      <c r="S858" s="10"/>
      <c r="T858" s="10"/>
      <c r="V858" s="11"/>
      <c r="W858" s="11"/>
      <c r="AE858" s="10"/>
    </row>
    <row r="859" spans="5:31" ht="12.75">
      <c r="E859" s="8"/>
      <c r="F859" s="8"/>
      <c r="H859" s="9"/>
      <c r="I859" s="9"/>
      <c r="S859" s="10"/>
      <c r="T859" s="10"/>
      <c r="V859" s="11"/>
      <c r="W859" s="11"/>
      <c r="AE859" s="10"/>
    </row>
    <row r="860" spans="5:31" ht="12.75">
      <c r="E860" s="8"/>
      <c r="F860" s="8"/>
      <c r="H860" s="9"/>
      <c r="I860" s="9"/>
      <c r="S860" s="10"/>
      <c r="T860" s="10"/>
      <c r="V860" s="11"/>
      <c r="W860" s="11"/>
      <c r="AE860" s="10"/>
    </row>
    <row r="861" spans="5:31" ht="12.75">
      <c r="E861" s="8"/>
      <c r="F861" s="8"/>
      <c r="H861" s="9"/>
      <c r="I861" s="9"/>
      <c r="S861" s="10"/>
      <c r="T861" s="10"/>
      <c r="V861" s="11"/>
      <c r="W861" s="11"/>
      <c r="AE861" s="10"/>
    </row>
    <row r="862" spans="5:31" ht="12.75">
      <c r="E862" s="8"/>
      <c r="F862" s="8"/>
      <c r="H862" s="9"/>
      <c r="I862" s="9"/>
      <c r="S862" s="10"/>
      <c r="T862" s="10"/>
      <c r="V862" s="11"/>
      <c r="W862" s="11"/>
      <c r="AE862" s="10"/>
    </row>
    <row r="863" spans="5:31" ht="12.75">
      <c r="E863" s="8"/>
      <c r="F863" s="8"/>
      <c r="H863" s="9"/>
      <c r="I863" s="9"/>
      <c r="S863" s="10"/>
      <c r="T863" s="10"/>
      <c r="V863" s="11"/>
      <c r="W863" s="11"/>
      <c r="AE863" s="10"/>
    </row>
    <row r="864" spans="5:31" ht="12.75">
      <c r="E864" s="8"/>
      <c r="F864" s="8"/>
      <c r="H864" s="9"/>
      <c r="I864" s="9"/>
      <c r="S864" s="10"/>
      <c r="T864" s="10"/>
      <c r="V864" s="11"/>
      <c r="W864" s="11"/>
      <c r="AE864" s="10"/>
    </row>
    <row r="865" spans="5:31" ht="12.75">
      <c r="E865" s="8"/>
      <c r="F865" s="8"/>
      <c r="H865" s="9"/>
      <c r="I865" s="9"/>
      <c r="S865" s="10"/>
      <c r="T865" s="10"/>
      <c r="V865" s="11"/>
      <c r="W865" s="11"/>
      <c r="AE865" s="10"/>
    </row>
    <row r="866" spans="5:31" ht="12.75">
      <c r="E866" s="8"/>
      <c r="F866" s="8"/>
      <c r="H866" s="9"/>
      <c r="I866" s="9"/>
      <c r="S866" s="10"/>
      <c r="T866" s="10"/>
      <c r="V866" s="11"/>
      <c r="W866" s="11"/>
      <c r="AE866" s="10"/>
    </row>
    <row r="867" spans="5:31" ht="12.75">
      <c r="E867" s="8"/>
      <c r="F867" s="8"/>
      <c r="H867" s="9"/>
      <c r="I867" s="9"/>
      <c r="S867" s="10"/>
      <c r="T867" s="10"/>
      <c r="V867" s="11"/>
      <c r="W867" s="11"/>
      <c r="AE867" s="10"/>
    </row>
    <row r="868" spans="5:31" ht="12.75">
      <c r="E868" s="8"/>
      <c r="F868" s="8"/>
      <c r="H868" s="9"/>
      <c r="I868" s="9"/>
      <c r="S868" s="10"/>
      <c r="T868" s="10"/>
      <c r="V868" s="11"/>
      <c r="W868" s="11"/>
      <c r="AE868" s="10"/>
    </row>
    <row r="869" spans="5:31" ht="12.75">
      <c r="E869" s="8"/>
      <c r="F869" s="8"/>
      <c r="H869" s="9"/>
      <c r="I869" s="9"/>
      <c r="S869" s="10"/>
      <c r="T869" s="10"/>
      <c r="V869" s="11"/>
      <c r="W869" s="11"/>
      <c r="AE869" s="10"/>
    </row>
    <row r="870" spans="5:31" ht="12.75">
      <c r="E870" s="8"/>
      <c r="F870" s="8"/>
      <c r="H870" s="9"/>
      <c r="I870" s="9"/>
      <c r="S870" s="10"/>
      <c r="T870" s="10"/>
      <c r="V870" s="11"/>
      <c r="W870" s="11"/>
      <c r="AE870" s="10"/>
    </row>
    <row r="871" spans="5:31" ht="12.75">
      <c r="E871" s="8"/>
      <c r="F871" s="8"/>
      <c r="H871" s="9"/>
      <c r="I871" s="9"/>
      <c r="S871" s="10"/>
      <c r="T871" s="10"/>
      <c r="V871" s="11"/>
      <c r="W871" s="11"/>
      <c r="AE871" s="10"/>
    </row>
    <row r="872" spans="5:31" ht="12.75">
      <c r="E872" s="8"/>
      <c r="F872" s="8"/>
      <c r="H872" s="9"/>
      <c r="I872" s="9"/>
      <c r="S872" s="10"/>
      <c r="T872" s="10"/>
      <c r="V872" s="11"/>
      <c r="W872" s="11"/>
      <c r="AE872" s="10"/>
    </row>
    <row r="873" spans="5:31" ht="12.75">
      <c r="E873" s="8"/>
      <c r="F873" s="8"/>
      <c r="H873" s="9"/>
      <c r="I873" s="9"/>
      <c r="S873" s="10"/>
      <c r="T873" s="10"/>
      <c r="V873" s="11"/>
      <c r="W873" s="11"/>
      <c r="AE873" s="10"/>
    </row>
    <row r="874" spans="5:31" ht="12.75">
      <c r="E874" s="8"/>
      <c r="F874" s="8"/>
      <c r="H874" s="9"/>
      <c r="I874" s="9"/>
      <c r="S874" s="10"/>
      <c r="T874" s="10"/>
      <c r="V874" s="11"/>
      <c r="W874" s="11"/>
      <c r="AE874" s="10"/>
    </row>
    <row r="875" spans="5:31" ht="12.75">
      <c r="E875" s="8"/>
      <c r="F875" s="8"/>
      <c r="H875" s="9"/>
      <c r="I875" s="9"/>
      <c r="S875" s="10"/>
      <c r="T875" s="10"/>
      <c r="V875" s="11"/>
      <c r="W875" s="11"/>
      <c r="AE875" s="10"/>
    </row>
    <row r="876" spans="5:31" ht="12.75">
      <c r="E876" s="8"/>
      <c r="F876" s="8"/>
      <c r="H876" s="9"/>
      <c r="I876" s="9"/>
      <c r="S876" s="10"/>
      <c r="T876" s="10"/>
      <c r="V876" s="11"/>
      <c r="W876" s="11"/>
      <c r="AE876" s="10"/>
    </row>
    <row r="877" spans="5:31" ht="12.75">
      <c r="E877" s="8"/>
      <c r="F877" s="8"/>
      <c r="H877" s="9"/>
      <c r="I877" s="9"/>
      <c r="S877" s="10"/>
      <c r="T877" s="10"/>
      <c r="V877" s="11"/>
      <c r="W877" s="11"/>
      <c r="AE877" s="10"/>
    </row>
    <row r="878" spans="5:31" ht="12.75">
      <c r="E878" s="8"/>
      <c r="F878" s="8"/>
      <c r="H878" s="9"/>
      <c r="I878" s="9"/>
      <c r="S878" s="10"/>
      <c r="T878" s="10"/>
      <c r="V878" s="11"/>
      <c r="W878" s="11"/>
      <c r="AE878" s="10"/>
    </row>
    <row r="879" spans="5:31" ht="12.75">
      <c r="E879" s="8"/>
      <c r="F879" s="8"/>
      <c r="H879" s="9"/>
      <c r="I879" s="9"/>
      <c r="S879" s="10"/>
      <c r="T879" s="10"/>
      <c r="V879" s="11"/>
      <c r="W879" s="11"/>
      <c r="AE879" s="10"/>
    </row>
    <row r="880" spans="5:31" ht="12.75">
      <c r="E880" s="8"/>
      <c r="F880" s="8"/>
      <c r="H880" s="9"/>
      <c r="I880" s="9"/>
      <c r="S880" s="10"/>
      <c r="T880" s="10"/>
      <c r="V880" s="11"/>
      <c r="W880" s="11"/>
      <c r="AE880" s="10"/>
    </row>
    <row r="881" spans="5:31" ht="12.75">
      <c r="E881" s="8"/>
      <c r="F881" s="8"/>
      <c r="H881" s="9"/>
      <c r="I881" s="9"/>
      <c r="S881" s="10"/>
      <c r="T881" s="10"/>
      <c r="V881" s="11"/>
      <c r="W881" s="11"/>
      <c r="AE881" s="10"/>
    </row>
    <row r="882" spans="5:31" ht="12.75">
      <c r="E882" s="8"/>
      <c r="F882" s="8"/>
      <c r="H882" s="9"/>
      <c r="I882" s="9"/>
      <c r="S882" s="10"/>
      <c r="T882" s="10"/>
      <c r="V882" s="11"/>
      <c r="W882" s="11"/>
      <c r="AE882" s="10"/>
    </row>
    <row r="883" spans="5:31" ht="12.75">
      <c r="E883" s="8"/>
      <c r="F883" s="8"/>
      <c r="H883" s="9"/>
      <c r="I883" s="9"/>
      <c r="S883" s="10"/>
      <c r="T883" s="10"/>
      <c r="V883" s="11"/>
      <c r="W883" s="11"/>
      <c r="AE883" s="10"/>
    </row>
    <row r="884" spans="5:31" ht="12.75">
      <c r="E884" s="8"/>
      <c r="F884" s="8"/>
      <c r="H884" s="9"/>
      <c r="I884" s="9"/>
      <c r="S884" s="10"/>
      <c r="T884" s="10"/>
      <c r="V884" s="11"/>
      <c r="W884" s="11"/>
      <c r="AE884" s="10"/>
    </row>
    <row r="885" spans="5:31" ht="12.75">
      <c r="E885" s="8"/>
      <c r="F885" s="8"/>
      <c r="H885" s="9"/>
      <c r="I885" s="9"/>
      <c r="S885" s="10"/>
      <c r="T885" s="10"/>
      <c r="V885" s="11"/>
      <c r="W885" s="11"/>
      <c r="AE885" s="10"/>
    </row>
    <row r="886" spans="5:31" ht="12.75">
      <c r="E886" s="8"/>
      <c r="F886" s="8"/>
      <c r="H886" s="9"/>
      <c r="I886" s="9"/>
      <c r="S886" s="10"/>
      <c r="T886" s="10"/>
      <c r="V886" s="11"/>
      <c r="W886" s="11"/>
      <c r="AE886" s="10"/>
    </row>
    <row r="887" spans="5:31" ht="12.75">
      <c r="E887" s="8"/>
      <c r="F887" s="8"/>
      <c r="H887" s="9"/>
      <c r="I887" s="9"/>
      <c r="S887" s="10"/>
      <c r="T887" s="10"/>
      <c r="V887" s="11"/>
      <c r="W887" s="11"/>
      <c r="AE887" s="10"/>
    </row>
    <row r="888" spans="5:31" ht="12.75">
      <c r="E888" s="8"/>
      <c r="F888" s="8"/>
      <c r="H888" s="9"/>
      <c r="I888" s="9"/>
      <c r="S888" s="10"/>
      <c r="T888" s="10"/>
      <c r="V888" s="11"/>
      <c r="W888" s="11"/>
      <c r="AE888" s="10"/>
    </row>
    <row r="889" spans="5:31" ht="12.75">
      <c r="E889" s="8"/>
      <c r="F889" s="8"/>
      <c r="H889" s="9"/>
      <c r="I889" s="9"/>
      <c r="S889" s="10"/>
      <c r="T889" s="10"/>
      <c r="V889" s="11"/>
      <c r="W889" s="11"/>
      <c r="AE889" s="10"/>
    </row>
    <row r="890" spans="5:31" ht="12.75">
      <c r="E890" s="8"/>
      <c r="F890" s="8"/>
      <c r="H890" s="9"/>
      <c r="I890" s="9"/>
      <c r="S890" s="10"/>
      <c r="T890" s="10"/>
      <c r="V890" s="11"/>
      <c r="W890" s="11"/>
      <c r="AE890" s="10"/>
    </row>
    <row r="891" spans="5:31" ht="12.75">
      <c r="E891" s="8"/>
      <c r="F891" s="8"/>
      <c r="H891" s="9"/>
      <c r="I891" s="9"/>
      <c r="S891" s="10"/>
      <c r="T891" s="10"/>
      <c r="V891" s="11"/>
      <c r="W891" s="11"/>
      <c r="AE891" s="10"/>
    </row>
    <row r="892" spans="5:31" ht="12.75">
      <c r="E892" s="8"/>
      <c r="F892" s="8"/>
      <c r="H892" s="9"/>
      <c r="I892" s="9"/>
      <c r="S892" s="10"/>
      <c r="T892" s="10"/>
      <c r="V892" s="11"/>
      <c r="W892" s="11"/>
      <c r="AE892" s="10"/>
    </row>
    <row r="893" spans="5:31" ht="12.75">
      <c r="E893" s="8"/>
      <c r="F893" s="8"/>
      <c r="H893" s="9"/>
      <c r="I893" s="9"/>
      <c r="S893" s="10"/>
      <c r="T893" s="10"/>
      <c r="V893" s="11"/>
      <c r="W893" s="11"/>
      <c r="AE893" s="10"/>
    </row>
    <row r="894" spans="5:31" ht="12.75">
      <c r="E894" s="8"/>
      <c r="F894" s="8"/>
      <c r="H894" s="9"/>
      <c r="I894" s="9"/>
      <c r="S894" s="10"/>
      <c r="T894" s="10"/>
      <c r="V894" s="11"/>
      <c r="W894" s="11"/>
      <c r="AE894" s="10"/>
    </row>
    <row r="895" spans="5:31" ht="12.75">
      <c r="E895" s="8"/>
      <c r="F895" s="8"/>
      <c r="H895" s="9"/>
      <c r="I895" s="9"/>
      <c r="S895" s="10"/>
      <c r="T895" s="10"/>
      <c r="V895" s="11"/>
      <c r="W895" s="11"/>
      <c r="AE895" s="10"/>
    </row>
    <row r="896" spans="5:31" ht="12.75">
      <c r="E896" s="8"/>
      <c r="F896" s="8"/>
      <c r="H896" s="9"/>
      <c r="I896" s="9"/>
      <c r="S896" s="10"/>
      <c r="T896" s="10"/>
      <c r="V896" s="11"/>
      <c r="W896" s="11"/>
      <c r="AE896" s="10"/>
    </row>
    <row r="897" spans="5:31" ht="12.75">
      <c r="E897" s="8"/>
      <c r="F897" s="8"/>
      <c r="H897" s="9"/>
      <c r="I897" s="9"/>
      <c r="S897" s="10"/>
      <c r="T897" s="10"/>
      <c r="V897" s="11"/>
      <c r="W897" s="11"/>
      <c r="AE897" s="10"/>
    </row>
    <row r="898" spans="5:31" ht="12.75">
      <c r="E898" s="8"/>
      <c r="F898" s="8"/>
      <c r="H898" s="9"/>
      <c r="I898" s="9"/>
      <c r="S898" s="10"/>
      <c r="T898" s="10"/>
      <c r="V898" s="11"/>
      <c r="W898" s="11"/>
      <c r="AE898" s="10"/>
    </row>
    <row r="899" spans="5:31" ht="12.75">
      <c r="E899" s="8"/>
      <c r="F899" s="8"/>
      <c r="H899" s="9"/>
      <c r="I899" s="9"/>
      <c r="S899" s="10"/>
      <c r="T899" s="10"/>
      <c r="V899" s="11"/>
      <c r="W899" s="11"/>
      <c r="AE899" s="10"/>
    </row>
    <row r="900" spans="5:31" ht="12.75">
      <c r="E900" s="8"/>
      <c r="F900" s="8"/>
      <c r="H900" s="9"/>
      <c r="I900" s="9"/>
      <c r="S900" s="10"/>
      <c r="T900" s="10"/>
      <c r="V900" s="11"/>
      <c r="W900" s="11"/>
      <c r="AE900" s="10"/>
    </row>
    <row r="901" spans="5:31" ht="12.75">
      <c r="E901" s="8"/>
      <c r="F901" s="8"/>
      <c r="H901" s="9"/>
      <c r="I901" s="9"/>
      <c r="S901" s="10"/>
      <c r="T901" s="10"/>
      <c r="V901" s="11"/>
      <c r="W901" s="11"/>
      <c r="AE901" s="10"/>
    </row>
    <row r="902" spans="5:31" ht="12.75">
      <c r="E902" s="8"/>
      <c r="F902" s="8"/>
      <c r="H902" s="9"/>
      <c r="I902" s="9"/>
      <c r="S902" s="10"/>
      <c r="T902" s="10"/>
      <c r="V902" s="11"/>
      <c r="W902" s="11"/>
      <c r="AE902" s="10"/>
    </row>
    <row r="903" spans="5:31" ht="12.75">
      <c r="E903" s="8"/>
      <c r="F903" s="8"/>
      <c r="H903" s="9"/>
      <c r="I903" s="9"/>
      <c r="S903" s="10"/>
      <c r="T903" s="10"/>
      <c r="V903" s="11"/>
      <c r="W903" s="11"/>
      <c r="AE903" s="10"/>
    </row>
    <row r="904" spans="5:31" ht="12.75">
      <c r="E904" s="8"/>
      <c r="F904" s="8"/>
      <c r="H904" s="9"/>
      <c r="I904" s="9"/>
      <c r="S904" s="10"/>
      <c r="T904" s="10"/>
      <c r="V904" s="11"/>
      <c r="W904" s="11"/>
      <c r="AE904" s="10"/>
    </row>
    <row r="905" spans="5:41" ht="12.75">
      <c r="E905" s="8"/>
      <c r="F905" s="8"/>
      <c r="G905" s="10"/>
      <c r="H905" s="9"/>
      <c r="I905" s="9"/>
      <c r="J905" s="10"/>
      <c r="K905" s="10"/>
      <c r="L905" s="10"/>
      <c r="O905" s="10"/>
      <c r="P905" s="10"/>
      <c r="Q905" s="10"/>
      <c r="R905" s="18"/>
      <c r="S905" s="10"/>
      <c r="T905" s="10"/>
      <c r="U905" s="10"/>
      <c r="V905" s="10"/>
      <c r="W905" s="10"/>
      <c r="AE905" s="10"/>
      <c r="AF905" s="10"/>
      <c r="AG905" s="10"/>
      <c r="AH905" s="10"/>
      <c r="AI905" s="10"/>
      <c r="AK905" s="10"/>
      <c r="AL905" s="10"/>
      <c r="AM905" s="10"/>
      <c r="AN905" s="10"/>
      <c r="AO905" s="10"/>
    </row>
    <row r="906" spans="5:31" ht="12.75">
      <c r="E906" s="8"/>
      <c r="F906" s="8"/>
      <c r="H906" s="9"/>
      <c r="I906" s="9"/>
      <c r="S906" s="10"/>
      <c r="T906" s="10"/>
      <c r="V906" s="11"/>
      <c r="W906" s="11"/>
      <c r="AE906" s="10"/>
    </row>
    <row r="907" spans="5:31" ht="12.75">
      <c r="E907" s="8"/>
      <c r="F907" s="8"/>
      <c r="H907" s="9"/>
      <c r="I907" s="9"/>
      <c r="S907" s="10"/>
      <c r="T907" s="10"/>
      <c r="V907" s="11"/>
      <c r="W907" s="11"/>
      <c r="AE907" s="10"/>
    </row>
    <row r="908" spans="5:31" ht="12.75">
      <c r="E908" s="8"/>
      <c r="F908" s="8"/>
      <c r="H908" s="9"/>
      <c r="I908" s="9"/>
      <c r="S908" s="10"/>
      <c r="T908" s="10"/>
      <c r="V908" s="11"/>
      <c r="W908" s="11"/>
      <c r="AE908" s="10"/>
    </row>
    <row r="909" spans="5:31" ht="12.75">
      <c r="E909" s="8"/>
      <c r="F909" s="8"/>
      <c r="H909" s="9"/>
      <c r="I909" s="9"/>
      <c r="S909" s="10"/>
      <c r="T909" s="10"/>
      <c r="V909" s="11"/>
      <c r="W909" s="11"/>
      <c r="AE909" s="10"/>
    </row>
    <row r="910" spans="5:31" ht="12.75">
      <c r="E910" s="8"/>
      <c r="F910" s="8"/>
      <c r="H910" s="9"/>
      <c r="I910" s="9"/>
      <c r="S910" s="10"/>
      <c r="T910" s="10"/>
      <c r="V910" s="11"/>
      <c r="W910" s="11"/>
      <c r="AE910" s="10"/>
    </row>
    <row r="911" spans="5:31" ht="12.75">
      <c r="E911" s="8"/>
      <c r="F911" s="8"/>
      <c r="H911" s="9"/>
      <c r="I911" s="9"/>
      <c r="S911" s="10"/>
      <c r="T911" s="10"/>
      <c r="V911" s="11"/>
      <c r="W911" s="11"/>
      <c r="AE911" s="10"/>
    </row>
    <row r="912" spans="5:31" ht="12.75">
      <c r="E912" s="8"/>
      <c r="F912" s="8"/>
      <c r="H912" s="9"/>
      <c r="I912" s="9"/>
      <c r="S912" s="10"/>
      <c r="T912" s="10"/>
      <c r="V912" s="11"/>
      <c r="W912" s="11"/>
      <c r="AE912" s="10"/>
    </row>
    <row r="913" spans="5:31" ht="12.75">
      <c r="E913" s="8"/>
      <c r="F913" s="8"/>
      <c r="H913" s="9"/>
      <c r="I913" s="9"/>
      <c r="S913" s="10"/>
      <c r="T913" s="10"/>
      <c r="V913" s="11"/>
      <c r="W913" s="11"/>
      <c r="AE913" s="10"/>
    </row>
    <row r="914" spans="5:31" ht="12.75">
      <c r="E914" s="8"/>
      <c r="F914" s="8"/>
      <c r="H914" s="9"/>
      <c r="I914" s="9"/>
      <c r="S914" s="10"/>
      <c r="T914" s="10"/>
      <c r="V914" s="11"/>
      <c r="W914" s="11"/>
      <c r="AE914" s="10"/>
    </row>
    <row r="915" spans="5:31" ht="12.75">
      <c r="E915" s="8"/>
      <c r="F915" s="8"/>
      <c r="H915" s="9"/>
      <c r="I915" s="9"/>
      <c r="S915" s="10"/>
      <c r="T915" s="10"/>
      <c r="V915" s="11"/>
      <c r="W915" s="11"/>
      <c r="AE915" s="10"/>
    </row>
    <row r="916" spans="5:31" ht="12.75">
      <c r="E916" s="8"/>
      <c r="F916" s="8"/>
      <c r="H916" s="9"/>
      <c r="I916" s="9"/>
      <c r="S916" s="10"/>
      <c r="T916" s="10"/>
      <c r="V916" s="11"/>
      <c r="W916" s="11"/>
      <c r="AE916" s="10"/>
    </row>
    <row r="917" spans="5:31" ht="12.75">
      <c r="E917" s="8"/>
      <c r="F917" s="8"/>
      <c r="H917" s="9"/>
      <c r="I917" s="9"/>
      <c r="S917" s="10"/>
      <c r="T917" s="10"/>
      <c r="V917" s="11"/>
      <c r="W917" s="11"/>
      <c r="AE917" s="10"/>
    </row>
    <row r="918" spans="5:31" ht="12.75">
      <c r="E918" s="8"/>
      <c r="F918" s="8"/>
      <c r="H918" s="9"/>
      <c r="I918" s="9"/>
      <c r="S918" s="10"/>
      <c r="T918" s="10"/>
      <c r="V918" s="11"/>
      <c r="W918" s="11"/>
      <c r="AE918" s="10"/>
    </row>
    <row r="919" spans="5:31" ht="12.75">
      <c r="E919" s="8"/>
      <c r="F919" s="8"/>
      <c r="H919" s="9"/>
      <c r="I919" s="9"/>
      <c r="S919" s="10"/>
      <c r="T919" s="10"/>
      <c r="V919" s="11"/>
      <c r="W919" s="11"/>
      <c r="AE919" s="10"/>
    </row>
    <row r="920" spans="5:31" ht="12.75">
      <c r="E920" s="8"/>
      <c r="F920" s="8"/>
      <c r="H920" s="9"/>
      <c r="I920" s="9"/>
      <c r="S920" s="10"/>
      <c r="T920" s="10"/>
      <c r="V920" s="11"/>
      <c r="W920" s="11"/>
      <c r="AE920" s="10"/>
    </row>
    <row r="921" spans="5:31" ht="12.75">
      <c r="E921" s="8"/>
      <c r="F921" s="8"/>
      <c r="H921" s="9"/>
      <c r="I921" s="9"/>
      <c r="S921" s="10"/>
      <c r="T921" s="10"/>
      <c r="V921" s="11"/>
      <c r="W921" s="11"/>
      <c r="AE921" s="10"/>
    </row>
    <row r="922" spans="5:31" ht="12.75">
      <c r="E922" s="8"/>
      <c r="F922" s="8"/>
      <c r="H922" s="9"/>
      <c r="I922" s="9"/>
      <c r="S922" s="10"/>
      <c r="T922" s="10"/>
      <c r="V922" s="11"/>
      <c r="W922" s="11"/>
      <c r="AE922" s="10"/>
    </row>
    <row r="923" spans="5:31" ht="12.75">
      <c r="E923" s="8"/>
      <c r="F923" s="8"/>
      <c r="H923" s="9"/>
      <c r="I923" s="9"/>
      <c r="S923" s="10"/>
      <c r="T923" s="10"/>
      <c r="V923" s="11"/>
      <c r="W923" s="11"/>
      <c r="AE923" s="10"/>
    </row>
    <row r="924" spans="5:31" ht="12.75">
      <c r="E924" s="8"/>
      <c r="F924" s="8"/>
      <c r="H924" s="9"/>
      <c r="I924" s="9"/>
      <c r="S924" s="10"/>
      <c r="T924" s="10"/>
      <c r="V924" s="11"/>
      <c r="W924" s="11"/>
      <c r="AE924" s="10"/>
    </row>
    <row r="925" spans="5:31" ht="12.75">
      <c r="E925" s="8"/>
      <c r="F925" s="8"/>
      <c r="H925" s="9"/>
      <c r="I925" s="9"/>
      <c r="S925" s="10"/>
      <c r="T925" s="10"/>
      <c r="V925" s="11"/>
      <c r="W925" s="11"/>
      <c r="AE925" s="10"/>
    </row>
    <row r="926" spans="5:31" ht="12.75">
      <c r="E926" s="8"/>
      <c r="F926" s="8"/>
      <c r="H926" s="9"/>
      <c r="I926" s="9"/>
      <c r="S926" s="10"/>
      <c r="T926" s="10"/>
      <c r="V926" s="11"/>
      <c r="W926" s="11"/>
      <c r="AE926" s="10"/>
    </row>
    <row r="927" spans="5:31" ht="12.75">
      <c r="E927" s="8"/>
      <c r="F927" s="8"/>
      <c r="H927" s="9"/>
      <c r="I927" s="9"/>
      <c r="S927" s="10"/>
      <c r="T927" s="10"/>
      <c r="V927" s="11"/>
      <c r="W927" s="11"/>
      <c r="AE927" s="10"/>
    </row>
    <row r="928" spans="5:31" ht="12.75">
      <c r="E928" s="8"/>
      <c r="F928" s="8"/>
      <c r="H928" s="9"/>
      <c r="I928" s="9"/>
      <c r="S928" s="10"/>
      <c r="T928" s="10"/>
      <c r="V928" s="11"/>
      <c r="W928" s="11"/>
      <c r="AE928" s="10"/>
    </row>
    <row r="929" spans="5:31" ht="12.75">
      <c r="E929" s="8"/>
      <c r="F929" s="8"/>
      <c r="H929" s="9"/>
      <c r="I929" s="9"/>
      <c r="S929" s="10"/>
      <c r="T929" s="10"/>
      <c r="V929" s="11"/>
      <c r="W929" s="11"/>
      <c r="AE929" s="10"/>
    </row>
    <row r="930" spans="5:31" ht="12.75">
      <c r="E930" s="8"/>
      <c r="F930" s="8"/>
      <c r="H930" s="9"/>
      <c r="I930" s="9"/>
      <c r="S930" s="10"/>
      <c r="T930" s="10"/>
      <c r="V930" s="11"/>
      <c r="W930" s="11"/>
      <c r="AE930" s="10"/>
    </row>
    <row r="931" spans="5:31" ht="12.75">
      <c r="E931" s="8"/>
      <c r="F931" s="8"/>
      <c r="H931" s="9"/>
      <c r="I931" s="9"/>
      <c r="S931" s="10"/>
      <c r="T931" s="10"/>
      <c r="V931" s="11"/>
      <c r="W931" s="11"/>
      <c r="AE931" s="10"/>
    </row>
    <row r="932" spans="5:31" ht="12.75">
      <c r="E932" s="8"/>
      <c r="F932" s="8"/>
      <c r="H932" s="9"/>
      <c r="I932" s="9"/>
      <c r="S932" s="10"/>
      <c r="T932" s="10"/>
      <c r="V932" s="11"/>
      <c r="W932" s="11"/>
      <c r="AE932" s="10"/>
    </row>
    <row r="933" spans="5:31" ht="12.75">
      <c r="E933" s="8"/>
      <c r="F933" s="8"/>
      <c r="H933" s="9"/>
      <c r="I933" s="9"/>
      <c r="S933" s="10"/>
      <c r="T933" s="10"/>
      <c r="V933" s="11"/>
      <c r="W933" s="11"/>
      <c r="AE933" s="10"/>
    </row>
    <row r="934" spans="5:31" ht="12.75">
      <c r="E934" s="8"/>
      <c r="F934" s="8"/>
      <c r="H934" s="9"/>
      <c r="I934" s="9"/>
      <c r="S934" s="10"/>
      <c r="T934" s="10"/>
      <c r="V934" s="11"/>
      <c r="W934" s="11"/>
      <c r="AE934" s="10"/>
    </row>
    <row r="935" spans="5:31" ht="12.75">
      <c r="E935" s="8"/>
      <c r="F935" s="8"/>
      <c r="H935" s="9"/>
      <c r="I935" s="9"/>
      <c r="S935" s="10"/>
      <c r="T935" s="10"/>
      <c r="V935" s="11"/>
      <c r="W935" s="11"/>
      <c r="AE935" s="10"/>
    </row>
    <row r="936" spans="5:31" ht="12.75">
      <c r="E936" s="8"/>
      <c r="F936" s="8"/>
      <c r="H936" s="9"/>
      <c r="I936" s="9"/>
      <c r="S936" s="10"/>
      <c r="T936" s="10"/>
      <c r="V936" s="11"/>
      <c r="W936" s="11"/>
      <c r="AE936" s="10"/>
    </row>
    <row r="937" spans="5:31" ht="12.75">
      <c r="E937" s="8"/>
      <c r="F937" s="8"/>
      <c r="H937" s="9"/>
      <c r="I937" s="9"/>
      <c r="S937" s="10"/>
      <c r="T937" s="10"/>
      <c r="V937" s="11"/>
      <c r="W937" s="11"/>
      <c r="AE937" s="10"/>
    </row>
    <row r="938" spans="5:31" ht="12.75">
      <c r="E938" s="8"/>
      <c r="F938" s="8"/>
      <c r="H938" s="9"/>
      <c r="I938" s="9"/>
      <c r="S938" s="10"/>
      <c r="T938" s="10"/>
      <c r="V938" s="11"/>
      <c r="W938" s="11"/>
      <c r="AE938" s="10"/>
    </row>
    <row r="939" spans="5:31" ht="12.75">
      <c r="E939" s="8"/>
      <c r="F939" s="8"/>
      <c r="H939" s="9"/>
      <c r="I939" s="9"/>
      <c r="S939" s="10"/>
      <c r="T939" s="10"/>
      <c r="V939" s="11"/>
      <c r="W939" s="11"/>
      <c r="AE939" s="10"/>
    </row>
    <row r="940" spans="5:31" ht="12.75">
      <c r="E940" s="8"/>
      <c r="F940" s="8"/>
      <c r="H940" s="9"/>
      <c r="I940" s="9"/>
      <c r="S940" s="10"/>
      <c r="T940" s="10"/>
      <c r="V940" s="11"/>
      <c r="W940" s="11"/>
      <c r="AE940" s="10"/>
    </row>
    <row r="941" spans="5:31" ht="12.75">
      <c r="E941" s="8"/>
      <c r="F941" s="8"/>
      <c r="H941" s="9"/>
      <c r="I941" s="9"/>
      <c r="S941" s="10"/>
      <c r="T941" s="10"/>
      <c r="V941" s="11"/>
      <c r="W941" s="11"/>
      <c r="AE941" s="10"/>
    </row>
    <row r="942" spans="5:31" ht="12.75">
      <c r="E942" s="8"/>
      <c r="F942" s="8"/>
      <c r="H942" s="9"/>
      <c r="I942" s="9"/>
      <c r="S942" s="10"/>
      <c r="T942" s="10"/>
      <c r="V942" s="11"/>
      <c r="W942" s="11"/>
      <c r="AE942" s="10"/>
    </row>
    <row r="943" spans="5:31" ht="12.75">
      <c r="E943" s="8"/>
      <c r="F943" s="8"/>
      <c r="H943" s="9"/>
      <c r="I943" s="9"/>
      <c r="S943" s="10"/>
      <c r="T943" s="10"/>
      <c r="V943" s="11"/>
      <c r="W943" s="11"/>
      <c r="AE943" s="10"/>
    </row>
    <row r="944" spans="5:31" ht="12.75">
      <c r="E944" s="8"/>
      <c r="F944" s="8"/>
      <c r="H944" s="9"/>
      <c r="I944" s="9"/>
      <c r="S944" s="10"/>
      <c r="T944" s="10"/>
      <c r="V944" s="11"/>
      <c r="W944" s="11"/>
      <c r="AE944" s="10"/>
    </row>
    <row r="945" spans="5:31" ht="12.75">
      <c r="E945" s="8"/>
      <c r="F945" s="8"/>
      <c r="H945" s="9"/>
      <c r="I945" s="9"/>
      <c r="S945" s="10"/>
      <c r="T945" s="10"/>
      <c r="V945" s="11"/>
      <c r="W945" s="11"/>
      <c r="AE945" s="10"/>
    </row>
    <row r="946" spans="5:31" ht="12.75">
      <c r="E946" s="8"/>
      <c r="F946" s="8"/>
      <c r="H946" s="9"/>
      <c r="I946" s="9"/>
      <c r="S946" s="10"/>
      <c r="T946" s="10"/>
      <c r="V946" s="11"/>
      <c r="W946" s="11"/>
      <c r="AE946" s="10"/>
    </row>
    <row r="947" spans="5:31" ht="12.75">
      <c r="E947" s="8"/>
      <c r="F947" s="8"/>
      <c r="H947" s="9"/>
      <c r="I947" s="9"/>
      <c r="S947" s="10"/>
      <c r="T947" s="10"/>
      <c r="V947" s="11"/>
      <c r="W947" s="11"/>
      <c r="AE947" s="10"/>
    </row>
    <row r="948" spans="5:31" ht="12.75">
      <c r="E948" s="8"/>
      <c r="F948" s="8"/>
      <c r="H948" s="9"/>
      <c r="I948" s="9"/>
      <c r="S948" s="10"/>
      <c r="T948" s="10"/>
      <c r="V948" s="11"/>
      <c r="W948" s="11"/>
      <c r="AE948" s="10"/>
    </row>
    <row r="949" spans="5:31" ht="12.75">
      <c r="E949" s="8"/>
      <c r="F949" s="8"/>
      <c r="H949" s="9"/>
      <c r="I949" s="9"/>
      <c r="S949" s="10"/>
      <c r="T949" s="10"/>
      <c r="V949" s="11"/>
      <c r="W949" s="11"/>
      <c r="AE949" s="10"/>
    </row>
    <row r="950" spans="5:31" ht="12.75">
      <c r="E950" s="8"/>
      <c r="F950" s="8"/>
      <c r="H950" s="9"/>
      <c r="I950" s="9"/>
      <c r="S950" s="10"/>
      <c r="T950" s="10"/>
      <c r="V950" s="11"/>
      <c r="W950" s="11"/>
      <c r="AE950" s="10"/>
    </row>
    <row r="951" spans="5:31" ht="12.75">
      <c r="E951" s="8"/>
      <c r="F951" s="8"/>
      <c r="H951" s="9"/>
      <c r="I951" s="9"/>
      <c r="S951" s="10"/>
      <c r="T951" s="10"/>
      <c r="V951" s="11"/>
      <c r="W951" s="11"/>
      <c r="AE951" s="10"/>
    </row>
    <row r="952" spans="5:31" ht="12.75">
      <c r="E952" s="8"/>
      <c r="F952" s="8"/>
      <c r="H952" s="9"/>
      <c r="I952" s="9"/>
      <c r="S952" s="10"/>
      <c r="T952" s="10"/>
      <c r="V952" s="11"/>
      <c r="W952" s="11"/>
      <c r="AE952" s="10"/>
    </row>
    <row r="953" spans="5:31" ht="12.75">
      <c r="E953" s="8"/>
      <c r="F953" s="8"/>
      <c r="H953" s="9"/>
      <c r="I953" s="9"/>
      <c r="S953" s="10"/>
      <c r="T953" s="10"/>
      <c r="V953" s="11"/>
      <c r="W953" s="11"/>
      <c r="AE953" s="10"/>
    </row>
    <row r="954" spans="5:31" ht="12.75">
      <c r="E954" s="8"/>
      <c r="F954" s="8"/>
      <c r="H954" s="9"/>
      <c r="I954" s="9"/>
      <c r="S954" s="10"/>
      <c r="T954" s="10"/>
      <c r="V954" s="11"/>
      <c r="W954" s="11"/>
      <c r="AE954" s="10"/>
    </row>
    <row r="955" spans="5:31" ht="12.75">
      <c r="E955" s="8"/>
      <c r="F955" s="8"/>
      <c r="H955" s="9"/>
      <c r="I955" s="9"/>
      <c r="S955" s="10"/>
      <c r="T955" s="10"/>
      <c r="V955" s="11"/>
      <c r="W955" s="11"/>
      <c r="AE955" s="10"/>
    </row>
    <row r="956" spans="5:31" ht="12.75">
      <c r="E956" s="8"/>
      <c r="F956" s="8"/>
      <c r="H956" s="9"/>
      <c r="I956" s="9"/>
      <c r="S956" s="10"/>
      <c r="T956" s="10"/>
      <c r="V956" s="11"/>
      <c r="W956" s="11"/>
      <c r="AE956" s="10"/>
    </row>
    <row r="957" spans="5:31" ht="12.75">
      <c r="E957" s="8"/>
      <c r="F957" s="8"/>
      <c r="H957" s="9"/>
      <c r="I957" s="9"/>
      <c r="S957" s="10"/>
      <c r="T957" s="10"/>
      <c r="V957" s="11"/>
      <c r="W957" s="11"/>
      <c r="AE957" s="10"/>
    </row>
    <row r="958" spans="5:31" ht="12.75">
      <c r="E958" s="8"/>
      <c r="F958" s="8"/>
      <c r="H958" s="9"/>
      <c r="I958" s="9"/>
      <c r="S958" s="10"/>
      <c r="T958" s="10"/>
      <c r="V958" s="11"/>
      <c r="W958" s="11"/>
      <c r="AE958" s="10"/>
    </row>
    <row r="959" spans="5:31" ht="12.75">
      <c r="E959" s="8"/>
      <c r="F959" s="8"/>
      <c r="H959" s="9"/>
      <c r="I959" s="9"/>
      <c r="S959" s="10"/>
      <c r="T959" s="10"/>
      <c r="V959" s="11"/>
      <c r="W959" s="11"/>
      <c r="AE959" s="10"/>
    </row>
    <row r="960" spans="5:31" ht="12.75">
      <c r="E960" s="8"/>
      <c r="F960" s="8"/>
      <c r="H960" s="9"/>
      <c r="I960" s="9"/>
      <c r="S960" s="10"/>
      <c r="T960" s="10"/>
      <c r="V960" s="11"/>
      <c r="W960" s="11"/>
      <c r="AE960" s="10"/>
    </row>
    <row r="961" spans="5:31" ht="12.75">
      <c r="E961" s="8"/>
      <c r="F961" s="8"/>
      <c r="H961" s="9"/>
      <c r="I961" s="9"/>
      <c r="S961" s="10"/>
      <c r="T961" s="10"/>
      <c r="V961" s="11"/>
      <c r="W961" s="11"/>
      <c r="AE961" s="10"/>
    </row>
    <row r="962" spans="5:31" ht="12.75">
      <c r="E962" s="8"/>
      <c r="F962" s="8"/>
      <c r="H962" s="9"/>
      <c r="I962" s="9"/>
      <c r="S962" s="10"/>
      <c r="T962" s="10"/>
      <c r="V962" s="11"/>
      <c r="W962" s="11"/>
      <c r="AE962" s="10"/>
    </row>
    <row r="963" spans="5:31" ht="12.75">
      <c r="E963" s="8"/>
      <c r="F963" s="8"/>
      <c r="H963" s="9"/>
      <c r="I963" s="9"/>
      <c r="S963" s="10"/>
      <c r="T963" s="10"/>
      <c r="V963" s="11"/>
      <c r="W963" s="11"/>
      <c r="AE963" s="10"/>
    </row>
    <row r="964" spans="5:31" ht="12.75">
      <c r="E964" s="8"/>
      <c r="F964" s="8"/>
      <c r="H964" s="9"/>
      <c r="I964" s="9"/>
      <c r="S964" s="10"/>
      <c r="T964" s="10"/>
      <c r="V964" s="11"/>
      <c r="W964" s="11"/>
      <c r="AE964" s="10"/>
    </row>
    <row r="965" spans="7:41" ht="12.75">
      <c r="G965" s="11"/>
      <c r="J965" s="11"/>
      <c r="K965" s="11"/>
      <c r="L965" s="11"/>
      <c r="O965" s="11"/>
      <c r="P965" s="11"/>
      <c r="Q965" s="11"/>
      <c r="R965" s="19"/>
      <c r="U965" s="11"/>
      <c r="V965" s="11"/>
      <c r="W965" s="11"/>
      <c r="AF965" s="11"/>
      <c r="AG965" s="11"/>
      <c r="AH965" s="11"/>
      <c r="AI965" s="11"/>
      <c r="AK965" s="11"/>
      <c r="AL965" s="11"/>
      <c r="AM965" s="11"/>
      <c r="AN965" s="11"/>
      <c r="AO965" s="11"/>
    </row>
    <row r="966" spans="5:31" ht="12.75">
      <c r="E966" s="8"/>
      <c r="F966" s="8"/>
      <c r="H966" s="9"/>
      <c r="I966" s="9"/>
      <c r="S966" s="10"/>
      <c r="T966" s="10"/>
      <c r="V966" s="11"/>
      <c r="W966" s="11"/>
      <c r="AE966" s="10"/>
    </row>
    <row r="967" spans="5:31" ht="12.75">
      <c r="E967" s="8"/>
      <c r="F967" s="8"/>
      <c r="H967" s="9"/>
      <c r="I967" s="9"/>
      <c r="S967" s="10"/>
      <c r="T967" s="10"/>
      <c r="V967" s="11"/>
      <c r="W967" s="11"/>
      <c r="AE967" s="10"/>
    </row>
    <row r="968" spans="5:31" ht="12.75">
      <c r="E968" s="8"/>
      <c r="F968" s="8"/>
      <c r="H968" s="9"/>
      <c r="I968" s="9"/>
      <c r="S968" s="10"/>
      <c r="T968" s="10"/>
      <c r="V968" s="11"/>
      <c r="W968" s="11"/>
      <c r="AE968" s="10"/>
    </row>
    <row r="969" spans="5:31" ht="12.75">
      <c r="E969" s="8"/>
      <c r="F969" s="8"/>
      <c r="H969" s="9"/>
      <c r="I969" s="9"/>
      <c r="S969" s="10"/>
      <c r="T969" s="10"/>
      <c r="V969" s="11"/>
      <c r="W969" s="11"/>
      <c r="AE969" s="10"/>
    </row>
    <row r="970" spans="5:31" ht="12.75">
      <c r="E970" s="8"/>
      <c r="F970" s="8"/>
      <c r="H970" s="9"/>
      <c r="I970" s="9"/>
      <c r="S970" s="10"/>
      <c r="T970" s="10"/>
      <c r="V970" s="11"/>
      <c r="W970" s="11"/>
      <c r="AE970" s="10"/>
    </row>
    <row r="971" spans="5:31" ht="12.75">
      <c r="E971" s="8"/>
      <c r="F971" s="8"/>
      <c r="H971" s="9"/>
      <c r="I971" s="9"/>
      <c r="S971" s="10"/>
      <c r="T971" s="10"/>
      <c r="V971" s="11"/>
      <c r="W971" s="11"/>
      <c r="AE971" s="10"/>
    </row>
    <row r="972" spans="5:31" ht="12.75">
      <c r="E972" s="8"/>
      <c r="F972" s="8"/>
      <c r="H972" s="9"/>
      <c r="I972" s="9"/>
      <c r="S972" s="10"/>
      <c r="T972" s="10"/>
      <c r="V972" s="11"/>
      <c r="W972" s="11"/>
      <c r="AE972" s="10"/>
    </row>
    <row r="973" spans="5:31" ht="12.75">
      <c r="E973" s="8"/>
      <c r="F973" s="8"/>
      <c r="H973" s="9"/>
      <c r="I973" s="9"/>
      <c r="S973" s="10"/>
      <c r="T973" s="10"/>
      <c r="V973" s="11"/>
      <c r="W973" s="11"/>
      <c r="AE973" s="10"/>
    </row>
    <row r="974" spans="5:31" ht="12.75">
      <c r="E974" s="8"/>
      <c r="F974" s="8"/>
      <c r="H974" s="9"/>
      <c r="I974" s="9"/>
      <c r="S974" s="10"/>
      <c r="T974" s="10"/>
      <c r="V974" s="11"/>
      <c r="W974" s="11"/>
      <c r="AE974" s="10"/>
    </row>
    <row r="975" spans="5:31" ht="12.75">
      <c r="E975" s="8"/>
      <c r="F975" s="8"/>
      <c r="H975" s="9"/>
      <c r="I975" s="9"/>
      <c r="S975" s="10"/>
      <c r="T975" s="10"/>
      <c r="V975" s="11"/>
      <c r="W975" s="11"/>
      <c r="AE975" s="10"/>
    </row>
    <row r="976" spans="5:31" ht="12.75">
      <c r="E976" s="8"/>
      <c r="F976" s="8"/>
      <c r="H976" s="9"/>
      <c r="I976" s="9"/>
      <c r="S976" s="10"/>
      <c r="T976" s="10"/>
      <c r="V976" s="11"/>
      <c r="W976" s="11"/>
      <c r="AE976" s="10"/>
    </row>
    <row r="977" spans="5:31" ht="12.75">
      <c r="E977" s="8"/>
      <c r="F977" s="8"/>
      <c r="H977" s="9"/>
      <c r="I977" s="9"/>
      <c r="S977" s="10"/>
      <c r="T977" s="10"/>
      <c r="V977" s="11"/>
      <c r="W977" s="11"/>
      <c r="AE977" s="10"/>
    </row>
    <row r="978" spans="5:31" ht="12.75">
      <c r="E978" s="8"/>
      <c r="F978" s="8"/>
      <c r="H978" s="9"/>
      <c r="I978" s="9"/>
      <c r="S978" s="10"/>
      <c r="T978" s="10"/>
      <c r="V978" s="11"/>
      <c r="W978" s="11"/>
      <c r="AE978" s="10"/>
    </row>
    <row r="979" spans="5:31" ht="12.75">
      <c r="E979" s="8"/>
      <c r="F979" s="8"/>
      <c r="H979" s="9"/>
      <c r="I979" s="9"/>
      <c r="S979" s="10"/>
      <c r="T979" s="10"/>
      <c r="V979" s="11"/>
      <c r="W979" s="11"/>
      <c r="AE979" s="10"/>
    </row>
    <row r="980" spans="5:31" ht="12.75">
      <c r="E980" s="8"/>
      <c r="F980" s="8"/>
      <c r="H980" s="9"/>
      <c r="I980" s="9"/>
      <c r="S980" s="10"/>
      <c r="T980" s="10"/>
      <c r="V980" s="11"/>
      <c r="W980" s="11"/>
      <c r="AE980" s="10"/>
    </row>
    <row r="981" spans="5:41" ht="12.75">
      <c r="E981" s="8"/>
      <c r="F981" s="8"/>
      <c r="G981" s="10"/>
      <c r="H981" s="9"/>
      <c r="I981" s="9"/>
      <c r="J981" s="10"/>
      <c r="K981" s="10"/>
      <c r="L981" s="10"/>
      <c r="O981" s="10"/>
      <c r="P981" s="10"/>
      <c r="Q981" s="10"/>
      <c r="R981" s="18"/>
      <c r="S981" s="10"/>
      <c r="T981" s="10"/>
      <c r="U981" s="10"/>
      <c r="V981" s="10"/>
      <c r="W981" s="10"/>
      <c r="AE981" s="10"/>
      <c r="AF981" s="10"/>
      <c r="AG981" s="10"/>
      <c r="AH981" s="10"/>
      <c r="AI981" s="10"/>
      <c r="AK981" s="10"/>
      <c r="AL981" s="10"/>
      <c r="AM981" s="10"/>
      <c r="AN981" s="10"/>
      <c r="AO981" s="10"/>
    </row>
    <row r="982" spans="5:31" ht="12.75">
      <c r="E982" s="8"/>
      <c r="F982" s="8"/>
      <c r="H982" s="9"/>
      <c r="I982" s="9"/>
      <c r="S982" s="10"/>
      <c r="T982" s="10"/>
      <c r="V982" s="11"/>
      <c r="W982" s="11"/>
      <c r="AE982" s="10"/>
    </row>
    <row r="983" spans="5:31" ht="12.75">
      <c r="E983" s="8"/>
      <c r="F983" s="8"/>
      <c r="H983" s="9"/>
      <c r="I983" s="9"/>
      <c r="S983" s="10"/>
      <c r="T983" s="10"/>
      <c r="V983" s="11"/>
      <c r="W983" s="11"/>
      <c r="AE983" s="10"/>
    </row>
    <row r="984" spans="5:31" ht="12.75">
      <c r="E984" s="8"/>
      <c r="F984" s="8"/>
      <c r="H984" s="9"/>
      <c r="I984" s="9"/>
      <c r="S984" s="10"/>
      <c r="T984" s="10"/>
      <c r="V984" s="11"/>
      <c r="W984" s="11"/>
      <c r="AE984" s="10"/>
    </row>
    <row r="985" spans="5:31" ht="12.75">
      <c r="E985" s="8"/>
      <c r="F985" s="8"/>
      <c r="H985" s="9"/>
      <c r="I985" s="9"/>
      <c r="S985" s="10"/>
      <c r="T985" s="10"/>
      <c r="V985" s="11"/>
      <c r="W985" s="11"/>
      <c r="AE985" s="10"/>
    </row>
    <row r="986" spans="5:31" ht="12.75">
      <c r="E986" s="8"/>
      <c r="F986" s="8"/>
      <c r="H986" s="9"/>
      <c r="I986" s="9"/>
      <c r="S986" s="10"/>
      <c r="T986" s="10"/>
      <c r="V986" s="11"/>
      <c r="W986" s="11"/>
      <c r="AE986" s="10"/>
    </row>
    <row r="987" spans="5:31" ht="12.75">
      <c r="E987" s="8"/>
      <c r="F987" s="8"/>
      <c r="H987" s="9"/>
      <c r="I987" s="9"/>
      <c r="S987" s="10"/>
      <c r="T987" s="10"/>
      <c r="V987" s="11"/>
      <c r="W987" s="11"/>
      <c r="AE987" s="10"/>
    </row>
    <row r="988" spans="5:31" ht="12.75">
      <c r="E988" s="8"/>
      <c r="F988" s="8"/>
      <c r="H988" s="9"/>
      <c r="I988" s="9"/>
      <c r="S988" s="10"/>
      <c r="T988" s="10"/>
      <c r="V988" s="11"/>
      <c r="W988" s="11"/>
      <c r="AE988" s="10"/>
    </row>
    <row r="989" spans="5:31" ht="12.75">
      <c r="E989" s="8"/>
      <c r="F989" s="8"/>
      <c r="H989" s="9"/>
      <c r="I989" s="9"/>
      <c r="S989" s="10"/>
      <c r="T989" s="10"/>
      <c r="V989" s="11"/>
      <c r="W989" s="11"/>
      <c r="AE989" s="10"/>
    </row>
    <row r="990" spans="5:31" ht="12.75">
      <c r="E990" s="8"/>
      <c r="F990" s="8"/>
      <c r="H990" s="9"/>
      <c r="I990" s="9"/>
      <c r="S990" s="10"/>
      <c r="T990" s="10"/>
      <c r="V990" s="11"/>
      <c r="W990" s="11"/>
      <c r="AE990" s="10"/>
    </row>
    <row r="991" spans="5:31" ht="12.75">
      <c r="E991" s="8"/>
      <c r="F991" s="8"/>
      <c r="H991" s="9"/>
      <c r="I991" s="9"/>
      <c r="S991" s="10"/>
      <c r="T991" s="10"/>
      <c r="V991" s="11"/>
      <c r="W991" s="11"/>
      <c r="AE991" s="10"/>
    </row>
    <row r="992" spans="5:31" ht="12.75">
      <c r="E992" s="8"/>
      <c r="F992" s="8"/>
      <c r="H992" s="9"/>
      <c r="I992" s="9"/>
      <c r="S992" s="10"/>
      <c r="T992" s="10"/>
      <c r="V992" s="11"/>
      <c r="W992" s="11"/>
      <c r="AE992" s="10"/>
    </row>
    <row r="993" spans="5:31" ht="12.75">
      <c r="E993" s="8"/>
      <c r="F993" s="8"/>
      <c r="H993" s="9"/>
      <c r="I993" s="9"/>
      <c r="S993" s="10"/>
      <c r="T993" s="10"/>
      <c r="V993" s="11"/>
      <c r="W993" s="11"/>
      <c r="AE993" s="10"/>
    </row>
    <row r="994" spans="5:31" ht="12.75">
      <c r="E994" s="8"/>
      <c r="F994" s="8"/>
      <c r="H994" s="9"/>
      <c r="I994" s="9"/>
      <c r="S994" s="10"/>
      <c r="T994" s="10"/>
      <c r="V994" s="11"/>
      <c r="W994" s="11"/>
      <c r="AE994" s="10"/>
    </row>
    <row r="995" spans="5:31" ht="12.75">
      <c r="E995" s="8"/>
      <c r="F995" s="8"/>
      <c r="H995" s="9"/>
      <c r="I995" s="9"/>
      <c r="S995" s="10"/>
      <c r="T995" s="10"/>
      <c r="V995" s="11"/>
      <c r="W995" s="11"/>
      <c r="AE995" s="10"/>
    </row>
    <row r="996" spans="5:31" ht="12.75">
      <c r="E996" s="8"/>
      <c r="F996" s="8"/>
      <c r="H996" s="9"/>
      <c r="I996" s="9"/>
      <c r="S996" s="10"/>
      <c r="T996" s="10"/>
      <c r="V996" s="11"/>
      <c r="W996" s="11"/>
      <c r="AE996" s="10"/>
    </row>
    <row r="997" spans="5:31" ht="12.75">
      <c r="E997" s="8"/>
      <c r="F997" s="8"/>
      <c r="H997" s="9"/>
      <c r="I997" s="9"/>
      <c r="S997" s="10"/>
      <c r="T997" s="10"/>
      <c r="V997" s="11"/>
      <c r="W997" s="11"/>
      <c r="AE997" s="10"/>
    </row>
    <row r="998" spans="5:31" ht="12.75">
      <c r="E998" s="8"/>
      <c r="F998" s="8"/>
      <c r="H998" s="9"/>
      <c r="I998" s="9"/>
      <c r="S998" s="10"/>
      <c r="T998" s="10"/>
      <c r="V998" s="11"/>
      <c r="W998" s="11"/>
      <c r="AE998" s="10"/>
    </row>
    <row r="999" spans="5:31" ht="12.75">
      <c r="E999" s="8"/>
      <c r="F999" s="8"/>
      <c r="H999" s="9"/>
      <c r="I999" s="9"/>
      <c r="S999" s="10"/>
      <c r="T999" s="10"/>
      <c r="V999" s="11"/>
      <c r="W999" s="11"/>
      <c r="AE999" s="10"/>
    </row>
    <row r="1000" spans="5:31" ht="12.75">
      <c r="E1000" s="8"/>
      <c r="F1000" s="8"/>
      <c r="H1000" s="9"/>
      <c r="I1000" s="9"/>
      <c r="S1000" s="10"/>
      <c r="T1000" s="10"/>
      <c r="V1000" s="11"/>
      <c r="W1000" s="11"/>
      <c r="AE1000" s="10"/>
    </row>
    <row r="1001" spans="5:31" ht="12.75">
      <c r="E1001" s="8"/>
      <c r="F1001" s="8"/>
      <c r="H1001" s="9"/>
      <c r="I1001" s="9"/>
      <c r="S1001" s="10"/>
      <c r="T1001" s="10"/>
      <c r="V1001" s="11"/>
      <c r="W1001" s="11"/>
      <c r="AE1001" s="10"/>
    </row>
    <row r="1002" spans="5:31" ht="12.75">
      <c r="E1002" s="8"/>
      <c r="F1002" s="8"/>
      <c r="H1002" s="9"/>
      <c r="I1002" s="9"/>
      <c r="S1002" s="10"/>
      <c r="T1002" s="10"/>
      <c r="V1002" s="11"/>
      <c r="W1002" s="11"/>
      <c r="AE1002" s="10"/>
    </row>
    <row r="1003" spans="5:31" ht="12.75">
      <c r="E1003" s="8"/>
      <c r="F1003" s="8"/>
      <c r="H1003" s="9"/>
      <c r="I1003" s="9"/>
      <c r="S1003" s="10"/>
      <c r="T1003" s="10"/>
      <c r="V1003" s="11"/>
      <c r="W1003" s="11"/>
      <c r="AE1003" s="10"/>
    </row>
    <row r="1004" spans="5:31" ht="12.75">
      <c r="E1004" s="8"/>
      <c r="F1004" s="8"/>
      <c r="H1004" s="9"/>
      <c r="I1004" s="9"/>
      <c r="S1004" s="10"/>
      <c r="T1004" s="10"/>
      <c r="V1004" s="11"/>
      <c r="W1004" s="11"/>
      <c r="AE1004" s="10"/>
    </row>
    <row r="1005" spans="5:31" ht="12.75">
      <c r="E1005" s="8"/>
      <c r="F1005" s="8"/>
      <c r="H1005" s="9"/>
      <c r="I1005" s="9"/>
      <c r="S1005" s="10"/>
      <c r="T1005" s="10"/>
      <c r="V1005" s="11"/>
      <c r="W1005" s="11"/>
      <c r="AE1005" s="10"/>
    </row>
    <row r="1006" spans="5:31" ht="12.75">
      <c r="E1006" s="8"/>
      <c r="F1006" s="8"/>
      <c r="H1006" s="9"/>
      <c r="I1006" s="9"/>
      <c r="S1006" s="10"/>
      <c r="T1006" s="10"/>
      <c r="V1006" s="11"/>
      <c r="W1006" s="11"/>
      <c r="AE1006" s="10"/>
    </row>
    <row r="1007" spans="5:31" ht="12.75">
      <c r="E1007" s="8"/>
      <c r="F1007" s="8"/>
      <c r="H1007" s="9"/>
      <c r="I1007" s="9"/>
      <c r="S1007" s="10"/>
      <c r="T1007" s="10"/>
      <c r="V1007" s="11"/>
      <c r="W1007" s="11"/>
      <c r="AE1007" s="10"/>
    </row>
    <row r="1008" spans="5:31" ht="12.75">
      <c r="E1008" s="8"/>
      <c r="F1008" s="8"/>
      <c r="H1008" s="9"/>
      <c r="I1008" s="9"/>
      <c r="S1008" s="10"/>
      <c r="T1008" s="10"/>
      <c r="V1008" s="11"/>
      <c r="W1008" s="11"/>
      <c r="AE1008" s="10"/>
    </row>
    <row r="1009" spans="5:31" ht="12.75">
      <c r="E1009" s="8"/>
      <c r="F1009" s="8"/>
      <c r="H1009" s="9"/>
      <c r="I1009" s="9"/>
      <c r="S1009" s="10"/>
      <c r="T1009" s="10"/>
      <c r="V1009" s="11"/>
      <c r="W1009" s="11"/>
      <c r="AE1009" s="10"/>
    </row>
    <row r="1010" spans="5:31" ht="12.75">
      <c r="E1010" s="8"/>
      <c r="F1010" s="8"/>
      <c r="H1010" s="9"/>
      <c r="I1010" s="9"/>
      <c r="S1010" s="10"/>
      <c r="T1010" s="10"/>
      <c r="V1010" s="11"/>
      <c r="W1010" s="11"/>
      <c r="AE1010" s="10"/>
    </row>
    <row r="1011" spans="5:31" ht="12.75">
      <c r="E1011" s="8"/>
      <c r="F1011" s="8"/>
      <c r="H1011" s="9"/>
      <c r="I1011" s="9"/>
      <c r="S1011" s="10"/>
      <c r="T1011" s="10"/>
      <c r="V1011" s="11"/>
      <c r="W1011" s="11"/>
      <c r="AE1011" s="10"/>
    </row>
    <row r="1012" spans="5:31" ht="12.75">
      <c r="E1012" s="8"/>
      <c r="F1012" s="8"/>
      <c r="H1012" s="9"/>
      <c r="I1012" s="9"/>
      <c r="S1012" s="10"/>
      <c r="T1012" s="10"/>
      <c r="V1012" s="11"/>
      <c r="W1012" s="11"/>
      <c r="AE1012" s="10"/>
    </row>
    <row r="1013" spans="5:31" ht="12.75">
      <c r="E1013" s="8"/>
      <c r="F1013" s="8"/>
      <c r="I1013" s="9"/>
      <c r="T1013" s="10"/>
      <c r="V1013" s="11"/>
      <c r="W1013" s="11"/>
      <c r="AE1013" s="10"/>
    </row>
    <row r="1014" spans="5:31" ht="12.75">
      <c r="E1014" s="8"/>
      <c r="F1014" s="8"/>
      <c r="I1014" s="9"/>
      <c r="T1014" s="10"/>
      <c r="V1014" s="11"/>
      <c r="W1014" s="11"/>
      <c r="AE1014" s="10"/>
    </row>
    <row r="1015" spans="5:31" ht="12.75">
      <c r="E1015" s="8"/>
      <c r="F1015" s="8"/>
      <c r="I1015" s="9"/>
      <c r="T1015" s="10"/>
      <c r="V1015" s="11"/>
      <c r="W1015" s="11"/>
      <c r="AE1015" s="10"/>
    </row>
    <row r="1016" spans="5:31" ht="12.75">
      <c r="E1016" s="8"/>
      <c r="F1016" s="8"/>
      <c r="I1016" s="9"/>
      <c r="T1016" s="10"/>
      <c r="V1016" s="11"/>
      <c r="W1016" s="11"/>
      <c r="AE1016" s="10"/>
    </row>
    <row r="1017" spans="5:31" ht="12.75">
      <c r="E1017" s="8"/>
      <c r="F1017" s="8"/>
      <c r="I1017" s="9"/>
      <c r="T1017" s="10"/>
      <c r="V1017" s="11"/>
      <c r="W1017" s="11"/>
      <c r="AE1017" s="10"/>
    </row>
    <row r="1018" spans="5:31" ht="12.75">
      <c r="E1018" s="8"/>
      <c r="F1018" s="8"/>
      <c r="H1018" s="9"/>
      <c r="I1018" s="9"/>
      <c r="S1018" s="10"/>
      <c r="T1018" s="10"/>
      <c r="V1018" s="11"/>
      <c r="W1018" s="11"/>
      <c r="AE1018" s="10"/>
    </row>
    <row r="1019" spans="5:31" ht="12.75">
      <c r="E1019" s="8"/>
      <c r="F1019" s="8"/>
      <c r="H1019" s="9"/>
      <c r="I1019" s="9"/>
      <c r="S1019" s="10"/>
      <c r="T1019" s="10"/>
      <c r="V1019" s="11"/>
      <c r="W1019" s="11"/>
      <c r="AE1019" s="10"/>
    </row>
    <row r="1020" spans="5:31" ht="12.75">
      <c r="E1020" s="8"/>
      <c r="F1020" s="8"/>
      <c r="H1020" s="9"/>
      <c r="I1020" s="9"/>
      <c r="S1020" s="10"/>
      <c r="T1020" s="10"/>
      <c r="V1020" s="11"/>
      <c r="W1020" s="11"/>
      <c r="AE1020" s="10"/>
    </row>
    <row r="1021" spans="5:31" ht="12.75">
      <c r="E1021" s="8"/>
      <c r="F1021" s="8"/>
      <c r="H1021" s="9"/>
      <c r="I1021" s="9"/>
      <c r="S1021" s="10"/>
      <c r="T1021" s="10"/>
      <c r="V1021" s="11"/>
      <c r="W1021" s="11"/>
      <c r="AE1021" s="10"/>
    </row>
    <row r="1022" spans="5:31" ht="12.75">
      <c r="E1022" s="8"/>
      <c r="F1022" s="8"/>
      <c r="H1022" s="9"/>
      <c r="I1022" s="9"/>
      <c r="S1022" s="10"/>
      <c r="T1022" s="10"/>
      <c r="V1022" s="11"/>
      <c r="W1022" s="11"/>
      <c r="AE1022" s="10"/>
    </row>
    <row r="1023" spans="5:31" ht="12.75">
      <c r="E1023" s="8"/>
      <c r="F1023" s="8"/>
      <c r="H1023" s="9"/>
      <c r="I1023" s="9"/>
      <c r="S1023" s="10"/>
      <c r="T1023" s="10"/>
      <c r="V1023" s="11"/>
      <c r="W1023" s="11"/>
      <c r="AE1023" s="10"/>
    </row>
    <row r="1024" spans="5:31" ht="12.75">
      <c r="E1024" s="8"/>
      <c r="F1024" s="8"/>
      <c r="H1024" s="9"/>
      <c r="I1024" s="9"/>
      <c r="S1024" s="10"/>
      <c r="T1024" s="10"/>
      <c r="V1024" s="11"/>
      <c r="W1024" s="11"/>
      <c r="AE1024" s="10"/>
    </row>
    <row r="1025" spans="5:31" ht="12.75">
      <c r="E1025" s="8"/>
      <c r="F1025" s="8"/>
      <c r="H1025" s="9"/>
      <c r="I1025" s="9"/>
      <c r="S1025" s="10"/>
      <c r="T1025" s="10"/>
      <c r="V1025" s="11"/>
      <c r="W1025" s="11"/>
      <c r="AE1025" s="10"/>
    </row>
    <row r="1026" spans="5:31" ht="12.75">
      <c r="E1026" s="8"/>
      <c r="F1026" s="8"/>
      <c r="H1026" s="9"/>
      <c r="I1026" s="9"/>
      <c r="S1026" s="10"/>
      <c r="T1026" s="10"/>
      <c r="V1026" s="11"/>
      <c r="W1026" s="11"/>
      <c r="AE1026" s="10"/>
    </row>
    <row r="1027" spans="5:31" ht="12.75">
      <c r="E1027" s="8"/>
      <c r="F1027" s="8"/>
      <c r="H1027" s="9"/>
      <c r="I1027" s="9"/>
      <c r="S1027" s="10"/>
      <c r="T1027" s="10"/>
      <c r="V1027" s="11"/>
      <c r="W1027" s="11"/>
      <c r="AE1027" s="10"/>
    </row>
    <row r="1028" spans="5:31" ht="12.75">
      <c r="E1028" s="8"/>
      <c r="F1028" s="8"/>
      <c r="H1028" s="9"/>
      <c r="I1028" s="9"/>
      <c r="S1028" s="10"/>
      <c r="T1028" s="10"/>
      <c r="V1028" s="11"/>
      <c r="W1028" s="11"/>
      <c r="AE1028" s="10"/>
    </row>
    <row r="1029" spans="5:31" ht="12.75">
      <c r="E1029" s="8"/>
      <c r="F1029" s="8"/>
      <c r="H1029" s="9"/>
      <c r="I1029" s="9"/>
      <c r="S1029" s="10"/>
      <c r="T1029" s="10"/>
      <c r="V1029" s="11"/>
      <c r="W1029" s="11"/>
      <c r="AE1029" s="10"/>
    </row>
    <row r="1030" spans="5:31" ht="12.75">
      <c r="E1030" s="8"/>
      <c r="F1030" s="8"/>
      <c r="H1030" s="9"/>
      <c r="I1030" s="9"/>
      <c r="S1030" s="10"/>
      <c r="T1030" s="10"/>
      <c r="V1030" s="11"/>
      <c r="W1030" s="11"/>
      <c r="AE1030" s="10"/>
    </row>
    <row r="1031" spans="5:31" ht="12.75">
      <c r="E1031" s="8"/>
      <c r="F1031" s="8"/>
      <c r="H1031" s="9"/>
      <c r="I1031" s="9"/>
      <c r="S1031" s="10"/>
      <c r="T1031" s="10"/>
      <c r="V1031" s="11"/>
      <c r="W1031" s="11"/>
      <c r="AE1031" s="10"/>
    </row>
    <row r="1032" spans="5:31" ht="12.75">
      <c r="E1032" s="8"/>
      <c r="F1032" s="8"/>
      <c r="H1032" s="9"/>
      <c r="I1032" s="9"/>
      <c r="S1032" s="10"/>
      <c r="T1032" s="10"/>
      <c r="V1032" s="11"/>
      <c r="W1032" s="11"/>
      <c r="AE1032" s="10"/>
    </row>
    <row r="1033" spans="5:31" ht="12.75">
      <c r="E1033" s="8"/>
      <c r="F1033" s="8"/>
      <c r="H1033" s="9"/>
      <c r="I1033" s="9"/>
      <c r="S1033" s="10"/>
      <c r="T1033" s="10"/>
      <c r="V1033" s="11"/>
      <c r="W1033" s="11"/>
      <c r="AE1033" s="10"/>
    </row>
    <row r="1034" spans="5:31" ht="12.75">
      <c r="E1034" s="8"/>
      <c r="F1034" s="8"/>
      <c r="H1034" s="9"/>
      <c r="I1034" s="9"/>
      <c r="S1034" s="10"/>
      <c r="T1034" s="10"/>
      <c r="V1034" s="11"/>
      <c r="W1034" s="11"/>
      <c r="AE1034" s="10"/>
    </row>
    <row r="1035" spans="5:31" ht="12.75">
      <c r="E1035" s="8"/>
      <c r="F1035" s="8"/>
      <c r="H1035" s="9"/>
      <c r="I1035" s="9"/>
      <c r="S1035" s="10"/>
      <c r="T1035" s="10"/>
      <c r="V1035" s="11"/>
      <c r="W1035" s="11"/>
      <c r="AE1035" s="10"/>
    </row>
    <row r="1036" spans="5:31" ht="12.75">
      <c r="E1036" s="8"/>
      <c r="F1036" s="8"/>
      <c r="H1036" s="9"/>
      <c r="I1036" s="9"/>
      <c r="S1036" s="10"/>
      <c r="T1036" s="10"/>
      <c r="V1036" s="11"/>
      <c r="W1036" s="11"/>
      <c r="AE1036" s="10"/>
    </row>
    <row r="1037" spans="5:31" ht="12.75">
      <c r="E1037" s="8"/>
      <c r="F1037" s="8"/>
      <c r="H1037" s="9"/>
      <c r="I1037" s="9"/>
      <c r="S1037" s="10"/>
      <c r="T1037" s="10"/>
      <c r="V1037" s="11"/>
      <c r="W1037" s="11"/>
      <c r="AE1037" s="10"/>
    </row>
    <row r="1038" spans="5:31" ht="12.75">
      <c r="E1038" s="8"/>
      <c r="F1038" s="8"/>
      <c r="H1038" s="9"/>
      <c r="I1038" s="9"/>
      <c r="S1038" s="10"/>
      <c r="T1038" s="10"/>
      <c r="V1038" s="11"/>
      <c r="W1038" s="11"/>
      <c r="AE1038" s="10"/>
    </row>
    <row r="1039" spans="5:31" ht="12.75">
      <c r="E1039" s="8"/>
      <c r="F1039" s="8"/>
      <c r="H1039" s="9"/>
      <c r="I1039" s="9"/>
      <c r="S1039" s="10"/>
      <c r="T1039" s="10"/>
      <c r="V1039" s="11"/>
      <c r="W1039" s="11"/>
      <c r="AE1039" s="10"/>
    </row>
    <row r="1040" spans="5:31" ht="12.75">
      <c r="E1040" s="8"/>
      <c r="F1040" s="8"/>
      <c r="H1040" s="9"/>
      <c r="I1040" s="9"/>
      <c r="S1040" s="10"/>
      <c r="T1040" s="10"/>
      <c r="V1040" s="11"/>
      <c r="W1040" s="11"/>
      <c r="AE1040" s="10"/>
    </row>
    <row r="1041" spans="5:41" ht="12.75">
      <c r="E1041" s="8"/>
      <c r="F1041" s="8"/>
      <c r="G1041" s="10"/>
      <c r="H1041" s="9"/>
      <c r="I1041" s="9"/>
      <c r="J1041" s="10"/>
      <c r="K1041" s="10"/>
      <c r="L1041" s="10"/>
      <c r="O1041" s="10"/>
      <c r="P1041" s="10"/>
      <c r="Q1041" s="10"/>
      <c r="R1041" s="18"/>
      <c r="S1041" s="10"/>
      <c r="T1041" s="10"/>
      <c r="U1041" s="10"/>
      <c r="V1041" s="10"/>
      <c r="W1041" s="10"/>
      <c r="AE1041" s="10"/>
      <c r="AF1041" s="10"/>
      <c r="AG1041" s="10"/>
      <c r="AH1041" s="10"/>
      <c r="AI1041" s="10"/>
      <c r="AK1041" s="10"/>
      <c r="AL1041" s="10"/>
      <c r="AM1041" s="10"/>
      <c r="AN1041" s="10"/>
      <c r="AO1041" s="10"/>
    </row>
    <row r="1042" spans="19:31" ht="12.75">
      <c r="S1042" s="1"/>
      <c r="T1042" s="1"/>
      <c r="AE1042" s="1"/>
    </row>
    <row r="1043" spans="22:23" ht="12.75">
      <c r="V1043" s="11"/>
      <c r="W1043" s="11"/>
    </row>
    <row r="1044" spans="22:23" ht="12.75">
      <c r="V1044" s="11"/>
      <c r="W1044" s="11"/>
    </row>
    <row r="1045" spans="22:23" ht="12.75">
      <c r="V1045" s="11"/>
      <c r="W1045" s="11"/>
    </row>
    <row r="1046" spans="22:23" ht="12.75">
      <c r="V1046" s="11"/>
      <c r="W1046" s="11"/>
    </row>
    <row r="1047" spans="22:23" ht="12.75">
      <c r="V1047" s="11"/>
      <c r="W1047" s="11"/>
    </row>
    <row r="1048" spans="22:23" ht="12.75">
      <c r="V1048" s="11"/>
      <c r="W1048" s="11"/>
    </row>
    <row r="1049" spans="22:23" ht="12.75">
      <c r="V1049" s="11"/>
      <c r="W1049" s="11"/>
    </row>
    <row r="1050" spans="22:23" ht="12.75">
      <c r="V1050" s="11"/>
      <c r="W1050" s="11"/>
    </row>
    <row r="1051" spans="22:23" ht="12.75">
      <c r="V1051" s="11"/>
      <c r="W1051" s="11"/>
    </row>
    <row r="1052" spans="22:23" ht="12.75">
      <c r="V1052" s="11"/>
      <c r="W1052" s="11"/>
    </row>
    <row r="1053" spans="22:23" ht="12.75">
      <c r="V1053" s="11"/>
      <c r="W1053" s="11"/>
    </row>
    <row r="1054" spans="22:23" ht="12.75">
      <c r="V1054" s="11"/>
      <c r="W1054" s="11"/>
    </row>
    <row r="1055" spans="22:23" ht="12.75">
      <c r="V1055" s="11"/>
      <c r="W1055" s="11"/>
    </row>
    <row r="1056" spans="22:23" ht="12.75">
      <c r="V1056" s="11"/>
      <c r="W1056" s="11"/>
    </row>
    <row r="1057" spans="22:23" ht="12.75">
      <c r="V1057" s="11"/>
      <c r="W1057" s="11"/>
    </row>
    <row r="1058" spans="22:23" ht="12.75">
      <c r="V1058" s="11"/>
      <c r="W1058" s="11"/>
    </row>
    <row r="1059" spans="22:23" ht="12.75">
      <c r="V1059" s="11"/>
      <c r="W1059" s="11"/>
    </row>
    <row r="1060" spans="22:23" ht="12.75">
      <c r="V1060" s="11"/>
      <c r="W1060" s="11"/>
    </row>
    <row r="1061" spans="22:23" ht="12.75">
      <c r="V1061" s="11"/>
      <c r="W1061" s="11"/>
    </row>
    <row r="1062" spans="22:23" ht="12.75">
      <c r="V1062" s="11"/>
      <c r="W1062" s="11"/>
    </row>
    <row r="1063" spans="22:23" ht="12.75">
      <c r="V1063" s="11"/>
      <c r="W1063" s="11"/>
    </row>
    <row r="1064" spans="22:23" ht="12.75">
      <c r="V1064" s="11"/>
      <c r="W1064" s="11"/>
    </row>
    <row r="1065" spans="22:23" ht="12.75">
      <c r="V1065" s="11"/>
      <c r="W1065" s="11"/>
    </row>
    <row r="1066" spans="22:23" ht="12.75">
      <c r="V1066" s="11"/>
      <c r="W1066" s="11"/>
    </row>
    <row r="1067" spans="22:23" ht="12.75">
      <c r="V1067" s="11"/>
      <c r="W1067" s="11"/>
    </row>
    <row r="1068" spans="22:23" ht="12.75">
      <c r="V1068" s="11"/>
      <c r="W1068" s="11"/>
    </row>
    <row r="1069" spans="22:23" ht="12.75">
      <c r="V1069" s="11"/>
      <c r="W1069" s="11"/>
    </row>
    <row r="1070" spans="22:23" ht="12.75">
      <c r="V1070" s="11"/>
      <c r="W1070" s="11"/>
    </row>
    <row r="1071" spans="22:23" ht="12.75">
      <c r="V1071" s="11"/>
      <c r="W1071" s="11"/>
    </row>
    <row r="1072" spans="22:23" ht="12.75">
      <c r="V1072" s="11"/>
      <c r="W1072" s="11"/>
    </row>
    <row r="1073" spans="22:23" ht="12.75">
      <c r="V1073" s="11"/>
      <c r="W1073" s="11"/>
    </row>
    <row r="1074" spans="22:23" ht="12.75">
      <c r="V1074" s="11"/>
      <c r="W1074" s="11"/>
    </row>
    <row r="1075" spans="22:23" ht="12.75">
      <c r="V1075" s="11"/>
      <c r="W1075" s="11"/>
    </row>
    <row r="1076" spans="22:23" ht="12.75">
      <c r="V1076" s="11"/>
      <c r="W1076" s="11"/>
    </row>
    <row r="1077" spans="22:23" ht="12.75">
      <c r="V1077" s="11"/>
      <c r="W1077" s="11"/>
    </row>
    <row r="1078" spans="22:23" ht="12.75">
      <c r="V1078" s="11"/>
      <c r="W1078" s="11"/>
    </row>
    <row r="1079" spans="22:23" ht="12.75">
      <c r="V1079" s="11"/>
      <c r="W1079" s="11"/>
    </row>
    <row r="1080" spans="22:23" ht="12.75">
      <c r="V1080" s="11"/>
      <c r="W1080" s="11"/>
    </row>
    <row r="1081" spans="22:23" ht="12.75">
      <c r="V1081" s="11"/>
      <c r="W1081" s="11"/>
    </row>
    <row r="1082" spans="22:23" ht="12.75">
      <c r="V1082" s="11"/>
      <c r="W1082" s="11"/>
    </row>
    <row r="1083" spans="22:23" ht="12.75">
      <c r="V1083" s="11"/>
      <c r="W1083" s="11"/>
    </row>
    <row r="1084" spans="22:23" ht="12.75">
      <c r="V1084" s="11"/>
      <c r="W1084" s="11"/>
    </row>
    <row r="1085" spans="22:23" ht="12.75">
      <c r="V1085" s="11"/>
      <c r="W1085" s="11"/>
    </row>
    <row r="1086" spans="22:23" ht="12.75">
      <c r="V1086" s="11"/>
      <c r="W1086" s="11"/>
    </row>
    <row r="1087" spans="22:23" ht="12.75">
      <c r="V1087" s="11"/>
      <c r="W1087" s="11"/>
    </row>
    <row r="1088" spans="22:23" ht="12.75">
      <c r="V1088" s="11"/>
      <c r="W1088" s="11"/>
    </row>
    <row r="1089" spans="22:23" ht="12.75">
      <c r="V1089" s="11"/>
      <c r="W1089" s="11"/>
    </row>
    <row r="1090" spans="22:23" ht="12.75">
      <c r="V1090" s="11"/>
      <c r="W1090" s="11"/>
    </row>
    <row r="1091" spans="22:23" ht="12.75">
      <c r="V1091" s="11"/>
      <c r="W1091" s="11"/>
    </row>
    <row r="1092" spans="22:23" ht="12.75">
      <c r="V1092" s="11"/>
      <c r="W1092" s="11"/>
    </row>
    <row r="1093" spans="22:23" ht="12.75">
      <c r="V1093" s="11"/>
      <c r="W1093" s="11"/>
    </row>
    <row r="1094" spans="22:23" ht="12.75">
      <c r="V1094" s="11"/>
      <c r="W1094" s="11"/>
    </row>
    <row r="1095" spans="22:23" ht="12.75">
      <c r="V1095" s="11"/>
      <c r="W1095" s="11"/>
    </row>
    <row r="1096" spans="22:23" ht="12.75">
      <c r="V1096" s="11"/>
      <c r="W1096" s="11"/>
    </row>
    <row r="1097" spans="22:23" ht="12.75">
      <c r="V1097" s="11"/>
      <c r="W1097" s="11"/>
    </row>
    <row r="1098" spans="22:23" ht="12.75">
      <c r="V1098" s="11"/>
      <c r="W1098" s="11"/>
    </row>
    <row r="1099" spans="22:23" ht="12.75">
      <c r="V1099" s="11"/>
      <c r="W1099" s="11"/>
    </row>
    <row r="1100" spans="22:23" ht="12.75">
      <c r="V1100" s="11"/>
      <c r="W1100" s="11"/>
    </row>
    <row r="1101" spans="22:23" ht="12.75">
      <c r="V1101" s="11"/>
      <c r="W1101" s="11"/>
    </row>
    <row r="1102" spans="22:23" ht="12.75">
      <c r="V1102" s="11"/>
      <c r="W1102" s="11"/>
    </row>
    <row r="1103" spans="22:23" ht="12.75">
      <c r="V1103" s="11"/>
      <c r="W1103" s="11"/>
    </row>
    <row r="1104" spans="22:23" ht="12.75">
      <c r="V1104" s="11"/>
      <c r="W1104" s="11"/>
    </row>
    <row r="1105" spans="22:23" ht="12.75">
      <c r="V1105" s="11"/>
      <c r="W1105" s="11"/>
    </row>
    <row r="1106" spans="22:23" ht="12.75">
      <c r="V1106" s="11"/>
      <c r="W1106" s="11"/>
    </row>
    <row r="1107" spans="22:23" ht="12.75">
      <c r="V1107" s="11"/>
      <c r="W1107" s="11"/>
    </row>
    <row r="1108" spans="22:23" ht="12.75">
      <c r="V1108" s="11"/>
      <c r="W1108" s="11"/>
    </row>
    <row r="1109" spans="22:23" ht="12.75">
      <c r="V1109" s="11"/>
      <c r="W1109" s="11"/>
    </row>
    <row r="1110" spans="22:23" ht="12.75">
      <c r="V1110" s="11"/>
      <c r="W1110" s="11"/>
    </row>
    <row r="1111" spans="22:23" ht="12.75">
      <c r="V1111" s="11"/>
      <c r="W1111" s="11"/>
    </row>
    <row r="1112" spans="22:23" ht="12.75">
      <c r="V1112" s="11"/>
      <c r="W1112" s="11"/>
    </row>
    <row r="1113" spans="22:23" ht="12.75">
      <c r="V1113" s="11"/>
      <c r="W1113" s="11"/>
    </row>
    <row r="1114" spans="22:23" ht="12.75">
      <c r="V1114" s="11"/>
      <c r="W1114" s="11"/>
    </row>
    <row r="1115" spans="22:23" ht="12.75">
      <c r="V1115" s="11"/>
      <c r="W1115" s="11"/>
    </row>
    <row r="1116" spans="22:23" ht="12.75">
      <c r="V1116" s="11"/>
      <c r="W1116" s="11"/>
    </row>
    <row r="1117" spans="22:23" ht="12.75">
      <c r="V1117" s="11"/>
      <c r="W1117" s="11"/>
    </row>
    <row r="1118" spans="22:23" ht="12.75">
      <c r="V1118" s="11"/>
      <c r="W1118" s="11"/>
    </row>
    <row r="1119" spans="22:23" ht="12.75">
      <c r="V1119" s="11"/>
      <c r="W1119" s="11"/>
    </row>
    <row r="1120" spans="22:23" ht="12.75">
      <c r="V1120" s="11"/>
      <c r="W1120" s="11"/>
    </row>
    <row r="1121" spans="22:23" ht="12.75">
      <c r="V1121" s="11"/>
      <c r="W1121" s="11"/>
    </row>
    <row r="1122" spans="22:23" ht="12.75">
      <c r="V1122" s="11"/>
      <c r="W1122" s="11"/>
    </row>
    <row r="1123" spans="22:23" ht="12.75">
      <c r="V1123" s="11"/>
      <c r="W1123" s="11"/>
    </row>
    <row r="1124" spans="22:23" ht="12.75">
      <c r="V1124" s="11"/>
      <c r="W1124" s="11"/>
    </row>
    <row r="1125" spans="22:23" ht="12.75">
      <c r="V1125" s="11"/>
      <c r="W1125" s="11"/>
    </row>
    <row r="1126" spans="22:23" ht="12.75">
      <c r="V1126" s="11"/>
      <c r="W1126" s="11"/>
    </row>
    <row r="1127" spans="22:23" ht="12.75">
      <c r="V1127" s="11"/>
      <c r="W1127" s="11"/>
    </row>
    <row r="1128" spans="22:23" ht="12.75">
      <c r="V1128" s="11"/>
      <c r="W1128" s="11"/>
    </row>
    <row r="1129" spans="22:23" ht="12.75">
      <c r="V1129" s="11"/>
      <c r="W1129" s="11"/>
    </row>
    <row r="1130" spans="22:23" ht="12.75">
      <c r="V1130" s="11"/>
      <c r="W1130" s="11"/>
    </row>
    <row r="1131" spans="22:23" ht="12.75">
      <c r="V1131" s="11"/>
      <c r="W1131" s="11"/>
    </row>
    <row r="1132" spans="22:23" ht="12.75">
      <c r="V1132" s="11"/>
      <c r="W1132" s="11"/>
    </row>
    <row r="1133" spans="22:23" ht="12.75">
      <c r="V1133" s="11"/>
      <c r="W1133" s="11"/>
    </row>
    <row r="1134" spans="22:23" ht="12.75">
      <c r="V1134" s="11"/>
      <c r="W1134" s="11"/>
    </row>
    <row r="1135" spans="22:23" ht="12.75">
      <c r="V1135" s="11"/>
      <c r="W1135" s="11"/>
    </row>
    <row r="1136" spans="22:23" ht="12.75">
      <c r="V1136" s="11"/>
      <c r="W1136" s="11"/>
    </row>
    <row r="1137" spans="22:23" ht="12.75">
      <c r="V1137" s="11"/>
      <c r="W1137" s="11"/>
    </row>
    <row r="1138" spans="22:23" ht="12.75">
      <c r="V1138" s="11"/>
      <c r="W1138" s="11"/>
    </row>
    <row r="1139" spans="22:23" ht="12.75">
      <c r="V1139" s="11"/>
      <c r="W1139" s="11"/>
    </row>
    <row r="1140" spans="22:23" ht="12.75">
      <c r="V1140" s="11"/>
      <c r="W1140" s="11"/>
    </row>
    <row r="1141" spans="22:23" ht="12.75">
      <c r="V1141" s="11"/>
      <c r="W1141" s="11"/>
    </row>
    <row r="1142" spans="22:23" ht="12.75">
      <c r="V1142" s="11"/>
      <c r="W1142" s="11"/>
    </row>
    <row r="1143" spans="22:23" ht="12.75">
      <c r="V1143" s="11"/>
      <c r="W1143" s="11"/>
    </row>
    <row r="1144" spans="22:23" ht="12.75">
      <c r="V1144" s="11"/>
      <c r="W1144" s="11"/>
    </row>
    <row r="1145" spans="22:23" ht="12.75">
      <c r="V1145" s="11"/>
      <c r="W1145" s="11"/>
    </row>
    <row r="1146" spans="22:23" ht="12.75">
      <c r="V1146" s="11"/>
      <c r="W1146" s="11"/>
    </row>
    <row r="1147" spans="22:23" ht="12.75">
      <c r="V1147" s="11"/>
      <c r="W1147" s="11"/>
    </row>
    <row r="1148" spans="22:23" ht="12.75">
      <c r="V1148" s="11"/>
      <c r="W1148" s="11"/>
    </row>
    <row r="1149" spans="22:23" ht="12.75">
      <c r="V1149" s="11"/>
      <c r="W1149" s="11"/>
    </row>
    <row r="1150" spans="22:23" ht="12.75">
      <c r="V1150" s="11"/>
      <c r="W1150" s="11"/>
    </row>
    <row r="1151" spans="22:23" ht="12.75">
      <c r="V1151" s="11"/>
      <c r="W1151" s="11"/>
    </row>
    <row r="1152" spans="22:23" ht="12.75">
      <c r="V1152" s="11"/>
      <c r="W1152" s="11"/>
    </row>
    <row r="1153" spans="22:23" ht="12.75">
      <c r="V1153" s="11"/>
      <c r="W1153" s="11"/>
    </row>
    <row r="1154" spans="22:23" ht="12.75">
      <c r="V1154" s="11"/>
      <c r="W1154" s="11"/>
    </row>
    <row r="1155" spans="22:23" ht="12.75">
      <c r="V1155" s="11"/>
      <c r="W1155" s="11"/>
    </row>
    <row r="1156" spans="22:23" ht="12.75">
      <c r="V1156" s="11"/>
      <c r="W1156" s="11"/>
    </row>
    <row r="1157" spans="22:23" ht="12.75">
      <c r="V1157" s="11"/>
      <c r="W1157" s="11"/>
    </row>
    <row r="1158" spans="22:23" ht="12.75">
      <c r="V1158" s="11"/>
      <c r="W1158" s="11"/>
    </row>
    <row r="1159" spans="22:23" ht="12.75">
      <c r="V1159" s="11"/>
      <c r="W1159" s="11"/>
    </row>
    <row r="1160" spans="22:23" ht="12.75">
      <c r="V1160" s="11"/>
      <c r="W1160" s="11"/>
    </row>
    <row r="1161" spans="22:23" ht="12.75">
      <c r="V1161" s="11"/>
      <c r="W1161" s="11"/>
    </row>
    <row r="1162" spans="22:23" ht="12.75">
      <c r="V1162" s="11"/>
      <c r="W1162" s="11"/>
    </row>
    <row r="1163" spans="22:23" ht="12.75">
      <c r="V1163" s="11"/>
      <c r="W1163" s="11"/>
    </row>
    <row r="1164" spans="22:23" ht="12.75">
      <c r="V1164" s="11"/>
      <c r="W1164" s="11"/>
    </row>
    <row r="1165" spans="22:23" ht="12.75">
      <c r="V1165" s="11"/>
      <c r="W1165" s="11"/>
    </row>
    <row r="1166" spans="22:23" ht="12.75">
      <c r="V1166" s="11"/>
      <c r="W1166" s="11"/>
    </row>
    <row r="1167" spans="22:23" ht="12.75">
      <c r="V1167" s="11"/>
      <c r="W1167" s="11"/>
    </row>
    <row r="1168" spans="22:23" ht="12.75">
      <c r="V1168" s="11"/>
      <c r="W1168" s="11"/>
    </row>
    <row r="1169" spans="22:23" ht="12.75">
      <c r="V1169" s="11"/>
      <c r="W1169" s="11"/>
    </row>
    <row r="1170" spans="22:23" ht="12.75">
      <c r="V1170" s="11"/>
      <c r="W1170" s="11"/>
    </row>
    <row r="1171" spans="22:23" ht="12.75">
      <c r="V1171" s="11"/>
      <c r="W1171" s="11"/>
    </row>
    <row r="1172" spans="22:23" ht="12.75">
      <c r="V1172" s="11"/>
      <c r="W1172" s="11"/>
    </row>
    <row r="1173" spans="22:23" ht="12.75">
      <c r="V1173" s="11"/>
      <c r="W1173" s="11"/>
    </row>
    <row r="1174" spans="22:23" ht="12.75">
      <c r="V1174" s="11"/>
      <c r="W1174" s="11"/>
    </row>
    <row r="1175" spans="22:23" ht="12.75">
      <c r="V1175" s="11"/>
      <c r="W1175" s="11"/>
    </row>
    <row r="1176" spans="22:23" ht="12.75">
      <c r="V1176" s="11"/>
      <c r="W1176" s="11"/>
    </row>
    <row r="1177" spans="22:23" ht="12.75">
      <c r="V1177" s="11"/>
      <c r="W1177" s="11"/>
    </row>
    <row r="1178" spans="22:23" ht="12.75">
      <c r="V1178" s="11"/>
      <c r="W1178" s="11"/>
    </row>
    <row r="1179" spans="22:23" ht="12.75">
      <c r="V1179" s="11"/>
      <c r="W1179" s="11"/>
    </row>
    <row r="1180" spans="22:23" ht="12.75">
      <c r="V1180" s="11"/>
      <c r="W1180" s="11"/>
    </row>
    <row r="1181" spans="22:23" ht="12.75">
      <c r="V1181" s="11"/>
      <c r="W1181" s="11"/>
    </row>
    <row r="1182" spans="22:23" ht="12.75">
      <c r="V1182" s="11"/>
      <c r="W1182" s="11"/>
    </row>
    <row r="1183" spans="22:23" ht="12.75">
      <c r="V1183" s="11"/>
      <c r="W1183" s="11"/>
    </row>
    <row r="1184" spans="22:23" ht="12.75">
      <c r="V1184" s="11"/>
      <c r="W1184" s="11"/>
    </row>
    <row r="1185" spans="22:23" ht="12.75">
      <c r="V1185" s="11"/>
      <c r="W1185" s="11"/>
    </row>
    <row r="1186" spans="22:23" ht="12.75">
      <c r="V1186" s="11"/>
      <c r="W1186" s="11"/>
    </row>
    <row r="1187" spans="22:23" ht="12.75">
      <c r="V1187" s="11"/>
      <c r="W1187" s="11"/>
    </row>
    <row r="1188" spans="22:23" ht="12.75">
      <c r="V1188" s="11"/>
      <c r="W1188" s="11"/>
    </row>
    <row r="1189" spans="22:23" ht="12.75">
      <c r="V1189" s="11"/>
      <c r="W1189" s="11"/>
    </row>
    <row r="1190" spans="22:23" ht="12.75">
      <c r="V1190" s="11"/>
      <c r="W1190" s="11"/>
    </row>
    <row r="1191" spans="22:23" ht="12.75">
      <c r="V1191" s="11"/>
      <c r="W1191" s="11"/>
    </row>
    <row r="1192" spans="22:23" ht="12.75">
      <c r="V1192" s="11"/>
      <c r="W1192" s="11"/>
    </row>
    <row r="1193" spans="22:23" ht="12.75">
      <c r="V1193" s="11"/>
      <c r="W1193" s="11"/>
    </row>
    <row r="1194" spans="22:23" ht="12.75">
      <c r="V1194" s="11"/>
      <c r="W1194" s="11"/>
    </row>
    <row r="1195" spans="22:23" ht="12.75">
      <c r="V1195" s="11"/>
      <c r="W1195" s="11"/>
    </row>
    <row r="1196" spans="22:23" ht="12.75">
      <c r="V1196" s="11"/>
      <c r="W1196" s="11"/>
    </row>
    <row r="1197" spans="22:23" ht="12.75">
      <c r="V1197" s="11"/>
      <c r="W1197" s="11"/>
    </row>
    <row r="1198" spans="22:23" ht="12.75">
      <c r="V1198" s="11"/>
      <c r="W1198" s="11"/>
    </row>
    <row r="1199" spans="22:23" ht="12.75">
      <c r="V1199" s="11"/>
      <c r="W1199" s="11"/>
    </row>
    <row r="1200" spans="22:23" ht="12.75">
      <c r="V1200" s="11"/>
      <c r="W1200" s="11"/>
    </row>
    <row r="1201" spans="22:23" ht="12.75">
      <c r="V1201" s="11"/>
      <c r="W1201" s="11"/>
    </row>
  </sheetData>
  <sheetProtection/>
  <autoFilter ref="A6:CT65"/>
  <mergeCells count="121">
    <mergeCell ref="BX2:BX5"/>
    <mergeCell ref="BZ2:CI2"/>
    <mergeCell ref="BZ3:BZ5"/>
    <mergeCell ref="CA3:CA5"/>
    <mergeCell ref="CB3:CB5"/>
    <mergeCell ref="DD4:DD5"/>
    <mergeCell ref="DE4:DE5"/>
    <mergeCell ref="DF4:DF5"/>
    <mergeCell ref="DG4:DG5"/>
    <mergeCell ref="DA2:DA5"/>
    <mergeCell ref="CS2:CV3"/>
    <mergeCell ref="CW2:CZ3"/>
    <mergeCell ref="DB2:DG2"/>
    <mergeCell ref="DB3:DD3"/>
    <mergeCell ref="DE3:DG3"/>
    <mergeCell ref="CS4:CS5"/>
    <mergeCell ref="CT4:CT5"/>
    <mergeCell ref="CU4:CU5"/>
    <mergeCell ref="CV4:CV5"/>
    <mergeCell ref="CW4:CW5"/>
    <mergeCell ref="CX4:CX5"/>
    <mergeCell ref="CY4:CY5"/>
    <mergeCell ref="CZ4:CZ5"/>
    <mergeCell ref="DB4:DB5"/>
    <mergeCell ref="DC4:DC5"/>
    <mergeCell ref="O2:R2"/>
    <mergeCell ref="BF2:BF5"/>
    <mergeCell ref="AY2:AY5"/>
    <mergeCell ref="AZ2:AZ5"/>
    <mergeCell ref="BA2:BA5"/>
    <mergeCell ref="CR2:CR5"/>
    <mergeCell ref="BM3:BM5"/>
    <mergeCell ref="BK2:BM2"/>
    <mergeCell ref="BG2:BG5"/>
    <mergeCell ref="BH2:BJ4"/>
    <mergeCell ref="BO3:BO5"/>
    <mergeCell ref="BY2:BY5"/>
    <mergeCell ref="CP2:CQ4"/>
    <mergeCell ref="CL2:CM4"/>
    <mergeCell ref="CN2:CO4"/>
    <mergeCell ref="BQ2:BS2"/>
    <mergeCell ref="BW2:BW5"/>
    <mergeCell ref="BQ3:BQ5"/>
    <mergeCell ref="BR3:BR5"/>
    <mergeCell ref="BS3:BS5"/>
    <mergeCell ref="BT2:BU3"/>
    <mergeCell ref="CJ2:CJ5"/>
    <mergeCell ref="CK2:CK5"/>
    <mergeCell ref="BV2:BV5"/>
    <mergeCell ref="Y4:Z4"/>
    <mergeCell ref="A2:A5"/>
    <mergeCell ref="AP2:AP5"/>
    <mergeCell ref="AQ2:AQ5"/>
    <mergeCell ref="B2:B5"/>
    <mergeCell ref="C2:C5"/>
    <mergeCell ref="D2:D5"/>
    <mergeCell ref="E2:E5"/>
    <mergeCell ref="M2:N2"/>
    <mergeCell ref="F2:F5"/>
    <mergeCell ref="G2:G5"/>
    <mergeCell ref="H2:H5"/>
    <mergeCell ref="I2:I5"/>
    <mergeCell ref="J2:J5"/>
    <mergeCell ref="K2:K5"/>
    <mergeCell ref="M3:M5"/>
    <mergeCell ref="AJ2:AJ5"/>
    <mergeCell ref="N3:N5"/>
    <mergeCell ref="S4:T4"/>
    <mergeCell ref="S3:T3"/>
    <mergeCell ref="X3:Z3"/>
    <mergeCell ref="U3:W3"/>
    <mergeCell ref="X4:X5"/>
    <mergeCell ref="U4:U5"/>
    <mergeCell ref="BP3:BP5"/>
    <mergeCell ref="BE2:BE5"/>
    <mergeCell ref="O3:O5"/>
    <mergeCell ref="P3:P5"/>
    <mergeCell ref="Q3:Q5"/>
    <mergeCell ref="R3:R5"/>
    <mergeCell ref="AN2:AN5"/>
    <mergeCell ref="AO2:AO5"/>
    <mergeCell ref="AR2:AR5"/>
    <mergeCell ref="AK2:AK5"/>
    <mergeCell ref="AL2:AL5"/>
    <mergeCell ref="AM2:AM5"/>
    <mergeCell ref="S2:AC2"/>
    <mergeCell ref="AA3:AC3"/>
    <mergeCell ref="AA4:AA5"/>
    <mergeCell ref="AB4:AC4"/>
    <mergeCell ref="AD2:AI2"/>
    <mergeCell ref="AI3:AI5"/>
    <mergeCell ref="AE3:AG3"/>
    <mergeCell ref="AH3:AH5"/>
    <mergeCell ref="AD3:AD5"/>
    <mergeCell ref="AE4:AE5"/>
    <mergeCell ref="AF4:AG4"/>
    <mergeCell ref="V4:W4"/>
    <mergeCell ref="L2:L5"/>
    <mergeCell ref="DH2:DJ4"/>
    <mergeCell ref="CC3:CC5"/>
    <mergeCell ref="CD3:CD5"/>
    <mergeCell ref="CE3:CE5"/>
    <mergeCell ref="CF3:CF5"/>
    <mergeCell ref="CG3:CG5"/>
    <mergeCell ref="CH3:CH5"/>
    <mergeCell ref="CI3:CI5"/>
    <mergeCell ref="AS2:AS5"/>
    <mergeCell ref="AT2:AT5"/>
    <mergeCell ref="AU2:AU5"/>
    <mergeCell ref="AW4:AW5"/>
    <mergeCell ref="AV2:AX2"/>
    <mergeCell ref="AV3:AV5"/>
    <mergeCell ref="AW3:AX3"/>
    <mergeCell ref="BK3:BK5"/>
    <mergeCell ref="BL3:BL5"/>
    <mergeCell ref="BN3:BN5"/>
    <mergeCell ref="AX4:AX5"/>
    <mergeCell ref="BB2:BB5"/>
    <mergeCell ref="BC2:BC5"/>
    <mergeCell ref="BD2:BD5"/>
    <mergeCell ref="BN2:BP2"/>
  </mergeCells>
  <printOptions/>
  <pageMargins left="0.2362204724409449" right="0.2362204724409449" top="0.2362204724409449" bottom="0.4724409448818898" header="0.1968503937007874" footer="0.2755905511811024"/>
  <pageSetup horizontalDpi="300" verticalDpi="300" orientation="landscape" paperSize="9" scale="75" r:id="rId3"/>
  <headerFooter alignWithMargins="0">
    <oddFooter>&amp;CСтраница &amp;P из &amp;N</oddFooter>
  </headerFooter>
  <ignoredErrors>
    <ignoredError sqref="M8:N9 K8:K21" unlockedFormula="1"/>
    <ignoredError sqref="M10:N17 M20:N21 M18:N18 M19:N19" formula="1" unlockedFormula="1"/>
    <ignoredError sqref="M22:N41" formula="1"/>
    <ignoredError sqref="M242:V248 M64:N65 M80:V188 M240:V240 AE240:AF248 AG248:AH248 AE66:AF78 M66:V78 AE80:AF188 AE213:AF228 M227:V228 G227:K228 G240:K240 G80:K188 G64:K78 G242:K24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Еремин Денис Владимирович</dc:creator>
  <cp:keywords/>
  <dc:description/>
  <cp:lastModifiedBy>Еремин Денис Владимирович</cp:lastModifiedBy>
  <cp:lastPrinted>2016-01-11T05:41:25Z</cp:lastPrinted>
  <dcterms:created xsi:type="dcterms:W3CDTF">2002-12-06T08:51:45Z</dcterms:created>
  <dcterms:modified xsi:type="dcterms:W3CDTF">2016-04-08T07:23:52Z</dcterms:modified>
  <cp:category/>
  <cp:version/>
  <cp:contentType/>
  <cp:contentStatus/>
</cp:coreProperties>
</file>